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\OneDrive\Pulpit\"/>
    </mc:Choice>
  </mc:AlternateContent>
  <xr:revisionPtr revIDLastSave="0" documentId="13_ncr:1_{ADB9E263-11CB-407C-B8B4-8977FF4E4F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Z 1 mięso drób wędlina " sheetId="3" r:id="rId1"/>
    <sheet name="CZ 2 nabiał" sheetId="5" r:id="rId2"/>
    <sheet name="CZ 3 art spożywcze" sheetId="6" r:id="rId3"/>
    <sheet name="CZ 4 mrożonki" sheetId="7" r:id="rId4"/>
    <sheet name="CZ 5 jajka" sheetId="11" r:id="rId5"/>
    <sheet name="CZ 6 warzywa owoce" sheetId="8" r:id="rId6"/>
    <sheet name="CZ 7 pieczywo" sheetId="9" r:id="rId7"/>
    <sheet name="CZ 8 RYBY" sheetId="10" r:id="rId8"/>
  </sheets>
  <definedNames>
    <definedName name="_GoBack" localSheetId="6">'CZ 7 pieczywo'!$B$4</definedName>
    <definedName name="_Hlk79736048" localSheetId="7">'CZ 8 RYBY'!$C$24</definedName>
    <definedName name="_xlnm.Print_Area" localSheetId="2">'CZ 3 art spożywcze'!$A$1:$F$103</definedName>
    <definedName name="_xlnm.Print_Area" localSheetId="3">'CZ 4 mrożonki'!$A$1:$I$40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D12" i="10"/>
  <c r="D10" i="10"/>
  <c r="F14" i="10" l="1"/>
  <c r="D64" i="6"/>
  <c r="D62" i="6"/>
  <c r="D65" i="6"/>
  <c r="D63" i="6"/>
  <c r="D60" i="6"/>
  <c r="D61" i="6"/>
  <c r="D58" i="6"/>
  <c r="D57" i="6"/>
  <c r="D59" i="6"/>
  <c r="D56" i="6"/>
  <c r="D55" i="6"/>
  <c r="D53" i="6"/>
  <c r="D54" i="6"/>
  <c r="D34" i="6"/>
  <c r="D31" i="6"/>
  <c r="D33" i="6"/>
  <c r="D32" i="6"/>
  <c r="D52" i="6"/>
  <c r="D51" i="6"/>
  <c r="D50" i="6"/>
  <c r="D49" i="6"/>
  <c r="D48" i="6"/>
  <c r="D47" i="6"/>
  <c r="D46" i="6"/>
  <c r="D45" i="6"/>
  <c r="D44" i="6"/>
  <c r="D43" i="6"/>
  <c r="D41" i="6"/>
  <c r="D39" i="6"/>
  <c r="D42" i="6"/>
  <c r="D40" i="6"/>
  <c r="D38" i="6"/>
  <c r="D37" i="6"/>
  <c r="D36" i="6"/>
  <c r="D35" i="6"/>
  <c r="D30" i="6"/>
  <c r="D27" i="6"/>
  <c r="D29" i="6"/>
  <c r="D28" i="6"/>
  <c r="D26" i="6"/>
  <c r="D25" i="6"/>
  <c r="D23" i="6"/>
  <c r="D22" i="6"/>
  <c r="D21" i="6"/>
  <c r="D20" i="6"/>
  <c r="D19" i="6"/>
  <c r="D18" i="6"/>
  <c r="D17" i="6"/>
  <c r="D16" i="6"/>
  <c r="D15" i="6"/>
  <c r="D14" i="6"/>
  <c r="D11" i="6"/>
  <c r="D13" i="6"/>
  <c r="D12" i="6"/>
  <c r="D29" i="8" l="1"/>
  <c r="D25" i="8"/>
  <c r="D33" i="8"/>
  <c r="D18" i="8"/>
  <c r="D24" i="8"/>
  <c r="D37" i="8"/>
  <c r="D28" i="8"/>
  <c r="D26" i="8"/>
  <c r="D27" i="8"/>
  <c r="D23" i="8"/>
  <c r="D17" i="8"/>
  <c r="D32" i="8"/>
  <c r="D16" i="8"/>
  <c r="D20" i="8"/>
  <c r="D19" i="8"/>
  <c r="D14" i="8"/>
  <c r="D35" i="8"/>
  <c r="D12" i="8"/>
  <c r="D10" i="8"/>
  <c r="D7" i="8"/>
  <c r="D9" i="8"/>
  <c r="D21" i="8"/>
  <c r="D15" i="8"/>
  <c r="D22" i="8"/>
  <c r="D34" i="8"/>
  <c r="D8" i="8"/>
  <c r="D31" i="8"/>
  <c r="D38" i="8"/>
  <c r="D13" i="8"/>
  <c r="F25" i="7"/>
  <c r="D15" i="5"/>
  <c r="D14" i="5"/>
  <c r="D16" i="5"/>
  <c r="D13" i="5"/>
  <c r="D21" i="5"/>
  <c r="D19" i="5"/>
  <c r="D12" i="5"/>
  <c r="D9" i="5"/>
  <c r="D20" i="5"/>
  <c r="F24" i="7"/>
  <c r="D18" i="5"/>
  <c r="F22" i="7"/>
  <c r="F23" i="7"/>
  <c r="D8" i="5"/>
  <c r="D10" i="5"/>
  <c r="F20" i="7" l="1"/>
  <c r="F19" i="7"/>
  <c r="F18" i="7"/>
  <c r="F17" i="7"/>
  <c r="F16" i="7"/>
  <c r="F15" i="7"/>
  <c r="F13" i="7"/>
  <c r="F12" i="7"/>
  <c r="F11" i="7"/>
  <c r="C5" i="11"/>
  <c r="D7" i="9"/>
  <c r="H26" i="7" l="1"/>
  <c r="F66" i="6" l="1"/>
  <c r="F40" i="8" l="1"/>
  <c r="F24" i="3"/>
  <c r="F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</author>
  </authors>
  <commentList>
    <comment ref="D26" authorId="0" shapeId="0" xr:uid="{4FD5222C-F17F-4DCB-913D-D3901D9A4D28}">
      <text>
        <r>
          <rPr>
            <b/>
            <sz val="9"/>
            <color indexed="81"/>
            <rFont val="Tahoma"/>
            <charset val="1"/>
          </rPr>
          <t>Agnieszka: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</author>
  </authors>
  <commentList>
    <comment ref="B14" authorId="0" shapeId="0" xr:uid="{DF5877C0-E6CD-435C-BFFA-2DBCFE110BEE}">
      <text>
        <r>
          <rPr>
            <b/>
            <sz val="9"/>
            <color indexed="81"/>
            <rFont val="Tahoma"/>
            <charset val="1"/>
          </rPr>
          <t>Agnieszka: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<sst xmlns="http://schemas.openxmlformats.org/spreadsheetml/2006/main" count="394" uniqueCount="194">
  <si>
    <t>Produkt</t>
  </si>
  <si>
    <t>Jedn. miary</t>
  </si>
  <si>
    <t>ilość</t>
  </si>
  <si>
    <t>szt.</t>
  </si>
  <si>
    <t>Wartość brutto OGÓŁEM W PLN</t>
  </si>
  <si>
    <t>Szt.</t>
  </si>
  <si>
    <t>kg</t>
  </si>
  <si>
    <t>Kg</t>
  </si>
  <si>
    <t>kg.</t>
  </si>
  <si>
    <t>szt</t>
  </si>
  <si>
    <t xml:space="preserve">Razem wartość ogółem </t>
  </si>
  <si>
    <t xml:space="preserve">Produkt  </t>
  </si>
  <si>
    <t>2.Schab wieprz b/k</t>
  </si>
  <si>
    <t xml:space="preserve">Razem wartość </t>
  </si>
  <si>
    <t xml:space="preserve">Pieczęć Podpis wykonawcy </t>
  </si>
  <si>
    <t xml:space="preserve">Pieczęć podpis wykonawcy </t>
  </si>
  <si>
    <t xml:space="preserve">Produkt </t>
  </si>
  <si>
    <t>3.Masło 82,5% tłuszczu ( 200 g)</t>
  </si>
  <si>
    <t>l</t>
  </si>
  <si>
    <t>1.banan</t>
  </si>
  <si>
    <t>2.brzoskwinie</t>
  </si>
  <si>
    <t>3.burak</t>
  </si>
  <si>
    <t>4.cebula</t>
  </si>
  <si>
    <t>5.cytryna</t>
  </si>
  <si>
    <t xml:space="preserve">6.Czosnek polski </t>
  </si>
  <si>
    <t>7.gruszka</t>
  </si>
  <si>
    <t>8.jabłka</t>
  </si>
  <si>
    <t>9.Kapusta biała</t>
  </si>
  <si>
    <t>10.Kapusta czerwona</t>
  </si>
  <si>
    <t>11.Kapusta pekińska</t>
  </si>
  <si>
    <t>12.por</t>
  </si>
  <si>
    <t>13.Koperek zielony</t>
  </si>
  <si>
    <t>15.natka</t>
  </si>
  <si>
    <t>16.mandarynki</t>
  </si>
  <si>
    <t>17.marchew</t>
  </si>
  <si>
    <t>18.Pietruszka korzeń</t>
  </si>
  <si>
    <t>19.Seler korzeń</t>
  </si>
  <si>
    <t xml:space="preserve">Razem wartość brutto ogółem </t>
  </si>
  <si>
    <t>CZ. 1 MIESO I WĘDLINY , DRÓB</t>
  </si>
  <si>
    <t>a</t>
  </si>
  <si>
    <t>CZ 2 NABIAŁ</t>
  </si>
  <si>
    <t xml:space="preserve">CZ 3 PRODUKTY SPOŻYWCZE </t>
  </si>
  <si>
    <t>CZ 4</t>
  </si>
  <si>
    <t xml:space="preserve">1.Mleko 2,0 % tłuszczu </t>
  </si>
  <si>
    <t>1.Jajka L</t>
  </si>
  <si>
    <t>2.Papryka słodka 20g</t>
  </si>
  <si>
    <t>22.Papryka czerwona</t>
  </si>
  <si>
    <t>1. Szynka wieprzowa extra świeża/ kulka</t>
  </si>
  <si>
    <t xml:space="preserve"> kg</t>
  </si>
  <si>
    <t>20.Ogórek szklarnowwy</t>
  </si>
  <si>
    <t xml:space="preserve">kg </t>
  </si>
  <si>
    <t xml:space="preserve">CZ 6 OWOCE WARZYWA ŚWIEŻE </t>
  </si>
  <si>
    <t>CZ 7 PIECZYWO</t>
  </si>
  <si>
    <t xml:space="preserve">Cena jednostkowa brutto W PLN </t>
  </si>
  <si>
    <t xml:space="preserve">     szt</t>
  </si>
  <si>
    <t>CZ 5 Jajka</t>
  </si>
  <si>
    <t>3.Filet z indyka świeży</t>
  </si>
  <si>
    <t>5.Wołowe extra</t>
  </si>
  <si>
    <t>9.Kiełbasa śląska</t>
  </si>
  <si>
    <t>10.Kiełbasa toruńska</t>
  </si>
  <si>
    <t>1.Bułka duża</t>
  </si>
  <si>
    <t>2.Bułka razowa</t>
  </si>
  <si>
    <t>3.Bułka mała</t>
  </si>
  <si>
    <t>4.Bułka Tarta</t>
  </si>
  <si>
    <t>1. Filet z Mientus b/s SHP nowozelandzka bardzo dobrej jakości</t>
  </si>
  <si>
    <t>2. Filet z Miruny b/s SHP nowozelandzka bardzo dobrej jakości</t>
  </si>
  <si>
    <t>4.Kostka z Łososia</t>
  </si>
  <si>
    <t>5.Medalony z Morszczuka</t>
  </si>
  <si>
    <t>6.Ryba Australis</t>
  </si>
  <si>
    <t>2. Kefir 150 gr</t>
  </si>
  <si>
    <t>14.Kapusta kiszona</t>
  </si>
  <si>
    <t xml:space="preserve"> 21.Ogórek kiszony </t>
  </si>
  <si>
    <t>5.Pączek z różą</t>
  </si>
  <si>
    <t>3. Czosnek granulowany 20g</t>
  </si>
  <si>
    <t>1. Barszcz czerwony koncentrat 300ml</t>
  </si>
  <si>
    <t>4. Bazylia 10g</t>
  </si>
  <si>
    <t>5. Cukier 1 kg</t>
  </si>
  <si>
    <t>6. Cukier waniliowy 32g</t>
  </si>
  <si>
    <t>7.Curry 20g</t>
  </si>
  <si>
    <t>8.Drożdze 100g</t>
  </si>
  <si>
    <t>9. Koncentrat pomidorowy 950g</t>
  </si>
  <si>
    <t>10.Gałka muszkatołowa 9g</t>
  </si>
  <si>
    <t>11.Cynamon 20g</t>
  </si>
  <si>
    <t>12.Groszek ptysiowy 1 kg</t>
  </si>
  <si>
    <t>13.Dżem  wiśniowy 3,5kg</t>
  </si>
  <si>
    <t>15.Frużelina wiśniowa 3,2 kg</t>
  </si>
  <si>
    <t>14.Groszek konserwowy 2,6g</t>
  </si>
  <si>
    <t>15. Groch łuskany 1 kg</t>
  </si>
  <si>
    <t>16.Kasz jęczmienna gruba 1kg</t>
  </si>
  <si>
    <t>17.Kasz jęczmienna średnia 1kg</t>
  </si>
  <si>
    <t>18.Kasza kuskus 1kg</t>
  </si>
  <si>
    <t>19.Kasza manna 1kg</t>
  </si>
  <si>
    <t>20. Makaron RÓŻNE RODZAJE 250 g -    /świderek/krajanka/ łazanki mini /kokardka mini/ pakowany po  250g,sporządzony z najwyższej jakości mąki, zawiera pszenice durum, po ugotowaniu nie skleja się, jest twardy i sprężysty, zachowuje naturalny .zapach i kolor</t>
  </si>
  <si>
    <t>22.Liść kolendry 6g</t>
  </si>
  <si>
    <t>21.Kolendra 15g</t>
  </si>
  <si>
    <t>23. Liść laurowy 6g</t>
  </si>
  <si>
    <t>24.Majeranek 8g</t>
  </si>
  <si>
    <t>25. Majonez 700g</t>
  </si>
  <si>
    <t>26.Musztarda 350g</t>
  </si>
  <si>
    <t>27.Musztarda 1kg</t>
  </si>
  <si>
    <t>28. Majonez 500g</t>
  </si>
  <si>
    <t>28.Kminek 20g</t>
  </si>
  <si>
    <t xml:space="preserve">29.Mąka pszenna </t>
  </si>
  <si>
    <t>30.Mąka na żur 0,8kg</t>
  </si>
  <si>
    <t>31.Kukurydza konserwowa 1,8 g</t>
  </si>
  <si>
    <t>32.Ocet jabłkowy 500ml</t>
  </si>
  <si>
    <t>33. Linia szkolna Kucharek 1kg</t>
  </si>
  <si>
    <t>34.Ogórek konserwowy 900 ml</t>
  </si>
  <si>
    <t>35. Olej 1 l rzepakowy extra</t>
  </si>
  <si>
    <t>36.Papryka konserwowa 1500g</t>
  </si>
  <si>
    <t>37.Pulpa pomidorowa 5,5 kg</t>
  </si>
  <si>
    <t>20.1. Makaron RÓŻNE RODZAJE 400 g -    /świderek/krajanka/ łazanki mini /kokardka mini/ pakowany po  250g,sporządzony z najwyższej jakości mąki, zawiera pszenice durum, po ugotowaniu nie skleja się, jest twardy i sprężysty, zachowuje naturalny .zapach i kolor</t>
  </si>
  <si>
    <t>20.2 Makaron RÓŻNE RODZAJE 500 g -    /świderek/krajanka/ łazanki mini /kokardka mini/ pakowany po  250g,sporządzony z najwyższej jakości mąki, zawiera pszenice durum, po ugotowaniu nie skleja się, jest twardy i sprężysty, zachowuje naturalny .zapach i kolor</t>
  </si>
  <si>
    <t>20.3 Makaron RÓŻNE RODZAJE 1000 g -    /świderek/krajanka/ łazanki mini /kokardka mini/ pakowany po  250g,sporządzony z najwyższej jakości mąki, zawiera pszenice durum, po ugotowaniu nie skleja się, jest twardy i sprężysty, zachowuje naturalny .zapach i kolor</t>
  </si>
  <si>
    <t xml:space="preserve">38.Sól niskosodowa </t>
  </si>
  <si>
    <t xml:space="preserve">39.Sól niskosodowa 350g </t>
  </si>
  <si>
    <t>40.Ryż długoziarnisty 1kg</t>
  </si>
  <si>
    <t>41.Ryż paraboliczny 1kg</t>
  </si>
  <si>
    <t>42. Pieprz ziołowy 20g</t>
  </si>
  <si>
    <t>43.Pieprz cytynowy 20g</t>
  </si>
  <si>
    <t>44.Pieprz czarny 20g</t>
  </si>
  <si>
    <t>45. Zioła prowansalskie 10g</t>
  </si>
  <si>
    <t>46. Ziele angielskie 15g</t>
  </si>
  <si>
    <t>47.Rodzynki 1kg</t>
  </si>
  <si>
    <t>48.  Żur 500g</t>
  </si>
  <si>
    <t>50. Proszek do pieczenia 18g</t>
  </si>
  <si>
    <t>49. Woda 18,9l</t>
  </si>
  <si>
    <t>1.Brokuł 2 kg</t>
  </si>
  <si>
    <t>2.Włoszczyzna 2,5 kg</t>
  </si>
  <si>
    <t>3.Mieszanka 7 składnikowa warzywna 2,5 kg</t>
  </si>
  <si>
    <t>4. Mini marchewki 2,5 kg</t>
  </si>
  <si>
    <t>5.Kalafior mrożony 2,5 kg</t>
  </si>
  <si>
    <t>6.Bukiet warzyw 2 kg</t>
  </si>
  <si>
    <t>7.Fasola szparagowa cięta  2,5 kg</t>
  </si>
  <si>
    <t>8.Barszcz ukraiński 2,5 kg</t>
  </si>
  <si>
    <t>9.Warzywa orientalne 0,45 kg</t>
  </si>
  <si>
    <t>10. Pyzy z mięsem 2,5 kg</t>
  </si>
  <si>
    <t>11. Szpinak 2,5 kg</t>
  </si>
  <si>
    <t>12. Kluski leniwe 2,5kg</t>
  </si>
  <si>
    <t>13. Kluski śląskie 2,5 kg</t>
  </si>
  <si>
    <t>14. Marchew z groszkiem 2,5kg</t>
  </si>
  <si>
    <t>15. Truskawka 2,5 kg</t>
  </si>
  <si>
    <t>Produkty  mrożone, świeże, konserwy i wędzone oraz mrożone warzywa i owoce</t>
  </si>
  <si>
    <t>Produkty rybne</t>
  </si>
  <si>
    <t>Cena JEDNOSTKOWA bruttto</t>
  </si>
  <si>
    <t xml:space="preserve">Cena JEDNOSTKOWA brutto W PLN </t>
  </si>
  <si>
    <t>WARTOŚĆ BRUTTO  W PLN</t>
  </si>
  <si>
    <t xml:space="preserve">Cena jednostkowa BRUtto W PLN </t>
  </si>
  <si>
    <t>Wartość BRUTTO OGÓŁEM W PLN</t>
  </si>
  <si>
    <t>23.ziemniaki</t>
  </si>
  <si>
    <t>24.Nektarynki</t>
  </si>
  <si>
    <t>25.lubczyk</t>
  </si>
  <si>
    <t>26.Kapusta włoska</t>
  </si>
  <si>
    <t>27.Pomarańcz</t>
  </si>
  <si>
    <t xml:space="preserve">28.Groch obłuskany </t>
  </si>
  <si>
    <t xml:space="preserve">29.Fasolka typu jaś  średni </t>
  </si>
  <si>
    <t>30.Kiwi szt</t>
  </si>
  <si>
    <t>31. Pieczarki</t>
  </si>
  <si>
    <t>32.śliwka</t>
  </si>
  <si>
    <t>33ogórek gruntowy</t>
  </si>
  <si>
    <t>RAZEM</t>
  </si>
  <si>
    <t>Cena JEDNOSTKOWA brutto</t>
  </si>
  <si>
    <t xml:space="preserve">Wartość brutto OGÓŁEM W PLN </t>
  </si>
  <si>
    <t xml:space="preserve">4..Ser żółty min. 45% zawartości tłuszczu/krojony 1 kg blok </t>
  </si>
  <si>
    <t>5.Serek topiony 100 gr</t>
  </si>
  <si>
    <t>6Śmietana 12% 1l</t>
  </si>
  <si>
    <t>7Śmietana 18% poj. 1 l</t>
  </si>
  <si>
    <t>8.Śmietana 22% 1l</t>
  </si>
  <si>
    <t>9.Śmietana 34% 1l</t>
  </si>
  <si>
    <t>10.Ser twarogowy półtłusty kg krajanka</t>
  </si>
  <si>
    <t>11.Maślanka</t>
  </si>
  <si>
    <t>12.Jogurt naturalny 1l.</t>
  </si>
  <si>
    <t>14.Jogurt skry 150g</t>
  </si>
  <si>
    <t>16.Serek owocowy 80gr</t>
  </si>
  <si>
    <t>19. Serek do smarowania 135g</t>
  </si>
  <si>
    <t>18. Ser bialy 270gr slatkowo kanapkowy</t>
  </si>
  <si>
    <t>15. Jogurt pitny  100 gr</t>
  </si>
  <si>
    <t xml:space="preserve">Cena JEDN. brutto W PLN </t>
  </si>
  <si>
    <t>13. Jogurt  250g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</si>
  <si>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</si>
  <si>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</si>
  <si>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</si>
  <si>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theme="1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</si>
  <si>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</si>
  <si>
    <t>CZ 8</t>
  </si>
  <si>
    <r>
      <t xml:space="preserve">6.Łopatka </t>
    </r>
    <r>
      <rPr>
        <sz val="12"/>
        <color rgb="FFFF0000"/>
        <rFont val="Calibri"/>
        <family val="2"/>
        <charset val="238"/>
      </rPr>
      <t>b/k</t>
    </r>
  </si>
  <si>
    <r>
      <t>13. Karczek</t>
    </r>
    <r>
      <rPr>
        <sz val="12"/>
        <color rgb="FFFF0000"/>
        <rFont val="Calibri"/>
        <family val="2"/>
        <charset val="238"/>
      </rPr>
      <t xml:space="preserve"> b/k</t>
    </r>
  </si>
  <si>
    <r>
      <t>7.Zestaw rosołowy wołowy</t>
    </r>
    <r>
      <rPr>
        <b/>
        <sz val="12"/>
        <color rgb="FFFF0000"/>
        <rFont val="Calibri"/>
        <family val="2"/>
        <charset val="238"/>
      </rPr>
      <t>-szponder</t>
    </r>
  </si>
  <si>
    <r>
      <t xml:space="preserve">8. Boczek </t>
    </r>
    <r>
      <rPr>
        <sz val="12"/>
        <color rgb="FFFF0000"/>
        <rFont val="Calibri"/>
        <family val="2"/>
        <charset val="238"/>
      </rPr>
      <t xml:space="preserve">surowy wędzony </t>
    </r>
  </si>
  <si>
    <r>
      <t>12.Słonina</t>
    </r>
    <r>
      <rPr>
        <sz val="12"/>
        <color rgb="FFFF0000"/>
        <rFont val="Calibri"/>
        <family val="2"/>
        <charset val="238"/>
      </rPr>
      <t xml:space="preserve"> surowa</t>
    </r>
  </si>
  <si>
    <r>
      <t>11</t>
    </r>
    <r>
      <rPr>
        <sz val="12"/>
        <color rgb="FFFF0000"/>
        <rFont val="Calibri"/>
        <family val="2"/>
        <charset val="238"/>
      </rPr>
      <t xml:space="preserve">.pierś z kurczaka </t>
    </r>
  </si>
  <si>
    <r>
      <t>7.Ryba Dorsz</t>
    </r>
    <r>
      <rPr>
        <sz val="12"/>
        <color rgb="FFFF0000"/>
        <rFont val="Calibri"/>
        <family val="2"/>
        <charset val="238"/>
      </rPr>
      <t xml:space="preserve"> filet </t>
    </r>
  </si>
  <si>
    <r>
      <t xml:space="preserve">3.Ryba Łosoś </t>
    </r>
    <r>
      <rPr>
        <sz val="12"/>
        <color rgb="FFFF0000"/>
        <rFont val="Calibri"/>
        <family val="2"/>
        <charset val="238"/>
      </rPr>
      <t>FILET</t>
    </r>
  </si>
  <si>
    <r>
      <t xml:space="preserve">4. Podudzia </t>
    </r>
    <r>
      <rPr>
        <sz val="12"/>
        <color rgb="FFFF0000"/>
        <rFont val="Calibri"/>
        <family val="2"/>
        <charset val="238"/>
      </rPr>
      <t>z kurczaka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</si>
</sst>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9" fontId="0" fillId="0" borderId="0" xfId="0" applyNumberFormat="1"/>
    <xf numFmtId="0" fontId="2" fillId="0" borderId="0" xfId="2" applyNumberFormat="1" applyFont="1" applyBorder="1" applyAlignment="1">
      <alignment horizontal="right" vertical="top" wrapText="1"/>
    </xf>
    <xf numFmtId="2" fontId="2" fillId="0" borderId="0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0" xfId="0" applyFont="1"/>
    <xf numFmtId="0" fontId="11" fillId="0" borderId="0" xfId="0" applyFont="1"/>
    <xf numFmtId="0" fontId="9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9" fillId="0" borderId="0" xfId="0" applyFont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44" fontId="5" fillId="0" borderId="6" xfId="0" applyNumberFormat="1" applyFont="1" applyBorder="1" applyAlignment="1">
      <alignment horizontal="right" vertical="top" wrapText="1"/>
    </xf>
    <xf numFmtId="44" fontId="5" fillId="0" borderId="5" xfId="0" applyNumberFormat="1" applyFont="1" applyBorder="1" applyAlignment="1">
      <alignment horizontal="right" vertical="top" wrapText="1"/>
    </xf>
    <xf numFmtId="0" fontId="0" fillId="0" borderId="15" xfId="0" applyBorder="1"/>
    <xf numFmtId="44" fontId="5" fillId="0" borderId="5" xfId="0" applyNumberFormat="1" applyFont="1" applyBorder="1" applyAlignment="1">
      <alignment horizontal="center" vertical="top" wrapText="1"/>
    </xf>
    <xf numFmtId="44" fontId="4" fillId="0" borderId="6" xfId="0" applyNumberFormat="1" applyFont="1" applyBorder="1" applyAlignment="1">
      <alignment vertical="top" wrapText="1"/>
    </xf>
    <xf numFmtId="44" fontId="9" fillId="0" borderId="5" xfId="0" applyNumberFormat="1" applyFont="1" applyBorder="1" applyAlignment="1">
      <alignment horizontal="right" vertical="top" wrapText="1"/>
    </xf>
    <xf numFmtId="44" fontId="9" fillId="0" borderId="1" xfId="0" applyNumberFormat="1" applyFont="1" applyBorder="1" applyAlignment="1">
      <alignment horizontal="right" vertical="top" wrapText="1"/>
    </xf>
    <xf numFmtId="44" fontId="4" fillId="0" borderId="9" xfId="0" applyNumberFormat="1" applyFont="1" applyBorder="1" applyAlignment="1">
      <alignment vertical="top" wrapText="1"/>
    </xf>
    <xf numFmtId="0" fontId="0" fillId="2" borderId="0" xfId="0" applyFill="1"/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44" fontId="5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44" fontId="4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44" fontId="0" fillId="0" borderId="15" xfId="0" applyNumberFormat="1" applyBorder="1"/>
    <xf numFmtId="44" fontId="14" fillId="0" borderId="15" xfId="0" applyNumberFormat="1" applyFont="1" applyBorder="1" applyAlignment="1">
      <alignment wrapText="1"/>
    </xf>
    <xf numFmtId="0" fontId="16" fillId="0" borderId="15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44" fontId="5" fillId="0" borderId="20" xfId="0" applyNumberFormat="1" applyFont="1" applyBorder="1" applyAlignment="1">
      <alignment horizontal="right" vertical="top" wrapText="1"/>
    </xf>
    <xf numFmtId="0" fontId="0" fillId="0" borderId="20" xfId="0" applyBorder="1"/>
    <xf numFmtId="4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0" applyFont="1" applyAlignment="1">
      <alignment horizontal="right" vertical="top" wrapText="1"/>
    </xf>
    <xf numFmtId="44" fontId="4" fillId="0" borderId="0" xfId="0" applyNumberFormat="1" applyFont="1" applyAlignment="1">
      <alignment horizontal="right" vertical="top" wrapText="1"/>
    </xf>
    <xf numFmtId="0" fontId="4" fillId="0" borderId="0" xfId="0" applyFont="1"/>
    <xf numFmtId="0" fontId="2" fillId="0" borderId="0" xfId="0" applyFont="1" applyAlignment="1">
      <alignment wrapText="1"/>
    </xf>
    <xf numFmtId="44" fontId="17" fillId="0" borderId="0" xfId="0" applyNumberFormat="1" applyFont="1"/>
    <xf numFmtId="44" fontId="5" fillId="0" borderId="16" xfId="0" applyNumberFormat="1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15" fillId="0" borderId="26" xfId="0" applyFont="1" applyBorder="1"/>
    <xf numFmtId="0" fontId="16" fillId="0" borderId="25" xfId="0" applyFont="1" applyBorder="1"/>
    <xf numFmtId="0" fontId="16" fillId="0" borderId="21" xfId="0" applyFont="1" applyBorder="1"/>
    <xf numFmtId="0" fontId="16" fillId="0" borderId="16" xfId="0" applyFont="1" applyBorder="1"/>
    <xf numFmtId="0" fontId="16" fillId="0" borderId="14" xfId="0" applyFont="1" applyBorder="1"/>
    <xf numFmtId="44" fontId="10" fillId="0" borderId="29" xfId="0" applyNumberFormat="1" applyFont="1" applyBorder="1" applyAlignment="1">
      <alignment horizontal="right" wrapText="1"/>
    </xf>
    <xf numFmtId="0" fontId="15" fillId="0" borderId="15" xfId="0" applyFont="1" applyBorder="1"/>
    <xf numFmtId="0" fontId="1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44" fontId="5" fillId="0" borderId="30" xfId="0" applyNumberFormat="1" applyFont="1" applyBorder="1" applyAlignment="1">
      <alignment horizontal="right" vertical="top" wrapText="1"/>
    </xf>
    <xf numFmtId="44" fontId="5" fillId="0" borderId="31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4" fillId="0" borderId="0" xfId="0" applyFont="1"/>
    <xf numFmtId="0" fontId="20" fillId="0" borderId="0" xfId="0" applyFont="1"/>
    <xf numFmtId="0" fontId="4" fillId="0" borderId="9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38"/>
  <sheetViews>
    <sheetView tabSelected="1" topLeftCell="A10" zoomScaleNormal="100" workbookViewId="0">
      <selection activeCell="I15" sqref="I15"/>
    </sheetView>
  </sheetViews>
  <sheetFormatPr defaultRowHeight="14"/>
  <cols>
    <col min="2" max="2" width="31.1640625" customWidth="1"/>
    <col min="6" max="6" width="15.1640625" customWidth="1"/>
  </cols>
  <sheetData>
    <row r="4" spans="2:6" ht="14.5">
      <c r="F4" s="7"/>
    </row>
    <row r="5" spans="2:6">
      <c r="B5" s="19"/>
    </row>
    <row r="6" spans="2:6" ht="21">
      <c r="B6" s="9" t="s">
        <v>38</v>
      </c>
    </row>
    <row r="7" spans="2:6" ht="16" thickBot="1">
      <c r="B7" s="8"/>
    </row>
    <row r="8" spans="2:6" ht="64.5" customHeight="1" thickBot="1">
      <c r="B8" s="1" t="s">
        <v>11</v>
      </c>
      <c r="C8" s="13" t="s">
        <v>1</v>
      </c>
      <c r="D8" s="13" t="s">
        <v>2</v>
      </c>
      <c r="E8" s="13" t="s">
        <v>177</v>
      </c>
      <c r="F8" s="11" t="s">
        <v>4</v>
      </c>
    </row>
    <row r="9" spans="2:6" ht="36.75" customHeight="1" thickBot="1">
      <c r="B9" s="2" t="s">
        <v>47</v>
      </c>
      <c r="C9" s="3" t="s">
        <v>6</v>
      </c>
      <c r="D9" s="18">
        <v>1272</v>
      </c>
      <c r="E9" s="37"/>
      <c r="F9" s="36"/>
    </row>
    <row r="10" spans="2:6" ht="33" customHeight="1" thickBot="1">
      <c r="B10" s="2" t="s">
        <v>12</v>
      </c>
      <c r="C10" s="3" t="s">
        <v>6</v>
      </c>
      <c r="D10" s="16">
        <v>366</v>
      </c>
      <c r="E10" s="37"/>
      <c r="F10" s="36"/>
    </row>
    <row r="11" spans="2:6" ht="35.25" customHeight="1" thickBot="1">
      <c r="B11" s="2" t="s">
        <v>56</v>
      </c>
      <c r="C11" s="3" t="s">
        <v>6</v>
      </c>
      <c r="D11" s="16">
        <v>203</v>
      </c>
      <c r="E11" s="37"/>
      <c r="F11" s="36"/>
    </row>
    <row r="12" spans="2:6" ht="30" customHeight="1" thickBot="1">
      <c r="B12" s="2" t="s">
        <v>193</v>
      </c>
      <c r="C12" s="3" t="s">
        <v>6</v>
      </c>
      <c r="D12" s="16">
        <v>477</v>
      </c>
      <c r="E12" s="37"/>
      <c r="F12" s="36"/>
    </row>
    <row r="13" spans="2:6" ht="27.75" customHeight="1" thickBot="1">
      <c r="B13" s="2" t="s">
        <v>57</v>
      </c>
      <c r="C13" s="3" t="s">
        <v>6</v>
      </c>
      <c r="D13" s="16">
        <v>97</v>
      </c>
      <c r="E13" s="37"/>
      <c r="F13" s="36"/>
    </row>
    <row r="14" spans="2:6" ht="16" thickBot="1">
      <c r="B14" s="2" t="s">
        <v>185</v>
      </c>
      <c r="C14" s="3" t="s">
        <v>6</v>
      </c>
      <c r="D14" s="16">
        <v>33</v>
      </c>
      <c r="E14" s="37"/>
      <c r="F14" s="36"/>
    </row>
    <row r="15" spans="2:6" ht="31.5" thickBot="1">
      <c r="B15" s="2" t="s">
        <v>187</v>
      </c>
      <c r="C15" s="3" t="s">
        <v>6</v>
      </c>
      <c r="D15" s="16">
        <v>80</v>
      </c>
      <c r="E15" s="37"/>
      <c r="F15" s="36"/>
    </row>
    <row r="16" spans="2:6" ht="33.75" customHeight="1" thickBot="1">
      <c r="B16" s="2" t="s">
        <v>188</v>
      </c>
      <c r="C16" s="3" t="s">
        <v>6</v>
      </c>
      <c r="D16" s="16">
        <v>60</v>
      </c>
      <c r="E16" s="37"/>
      <c r="F16" s="36"/>
    </row>
    <row r="17" spans="2:6" ht="19.5" customHeight="1" thickBot="1">
      <c r="B17" s="2" t="s">
        <v>58</v>
      </c>
      <c r="C17" s="3" t="s">
        <v>6</v>
      </c>
      <c r="D17" s="16">
        <v>42</v>
      </c>
      <c r="E17" s="37"/>
      <c r="F17" s="36"/>
    </row>
    <row r="18" spans="2:6" ht="17.25" customHeight="1" thickBot="1">
      <c r="B18" s="2" t="s">
        <v>59</v>
      </c>
      <c r="C18" s="3" t="s">
        <v>6</v>
      </c>
      <c r="D18" s="16">
        <v>25</v>
      </c>
      <c r="E18" s="39"/>
      <c r="F18" s="36"/>
    </row>
    <row r="19" spans="2:6" ht="18" customHeight="1" thickBot="1">
      <c r="B19" s="2" t="s">
        <v>190</v>
      </c>
      <c r="C19" s="3" t="s">
        <v>6</v>
      </c>
      <c r="D19" s="16">
        <v>350</v>
      </c>
      <c r="E19" s="37"/>
      <c r="F19" s="36"/>
    </row>
    <row r="20" spans="2:6" ht="20.25" customHeight="1" thickBot="1">
      <c r="B20" s="2" t="s">
        <v>189</v>
      </c>
      <c r="C20" s="3" t="s">
        <v>6</v>
      </c>
      <c r="D20" s="16">
        <v>51</v>
      </c>
      <c r="E20" s="37"/>
      <c r="F20" s="36"/>
    </row>
    <row r="21" spans="2:6" ht="15" customHeight="1" thickBot="1">
      <c r="B21" s="2" t="s">
        <v>186</v>
      </c>
      <c r="C21" s="3" t="s">
        <v>6</v>
      </c>
      <c r="D21" s="16">
        <f>34</f>
        <v>34</v>
      </c>
      <c r="E21" s="37"/>
      <c r="F21" s="36"/>
    </row>
    <row r="22" spans="2:6" ht="16" thickBot="1">
      <c r="B22" s="2"/>
      <c r="C22" s="3" t="s">
        <v>7</v>
      </c>
      <c r="D22" s="16"/>
      <c r="E22" s="37"/>
      <c r="F22" s="36"/>
    </row>
    <row r="23" spans="2:6" ht="23.25" customHeight="1" thickBot="1">
      <c r="B23" s="2"/>
      <c r="C23" s="3"/>
      <c r="D23" s="16"/>
      <c r="E23" s="37"/>
      <c r="F23" s="36"/>
    </row>
    <row r="24" spans="2:6" ht="18" customHeight="1" thickBot="1">
      <c r="B24" s="111" t="s">
        <v>13</v>
      </c>
      <c r="C24" s="112"/>
      <c r="D24" s="112"/>
      <c r="E24" s="113"/>
      <c r="F24" s="40">
        <f>SUM(F9:F23)</f>
        <v>0</v>
      </c>
    </row>
    <row r="25" spans="2:6" ht="32.25" customHeight="1"/>
    <row r="27" spans="2:6" ht="15.5">
      <c r="B27" s="8"/>
    </row>
    <row r="28" spans="2:6" ht="15.5">
      <c r="B28" s="14" t="s">
        <v>14</v>
      </c>
    </row>
    <row r="29" spans="2:6">
      <c r="F29" s="44"/>
    </row>
    <row r="30" spans="2:6" ht="15.5">
      <c r="B30" s="106" t="s">
        <v>179</v>
      </c>
    </row>
    <row r="32" spans="2:6" ht="15.5">
      <c r="B32" s="107" t="s">
        <v>180</v>
      </c>
    </row>
    <row r="35" spans="2:2" ht="15">
      <c r="B35" s="108" t="s">
        <v>181</v>
      </c>
    </row>
    <row r="37" spans="2:2" ht="15.5">
      <c r="B37" s="109" t="s">
        <v>182</v>
      </c>
    </row>
    <row r="38" spans="2:2" ht="15.5">
      <c r="B38" s="110" t="s">
        <v>183</v>
      </c>
    </row>
  </sheetData>
  <mergeCells count="1">
    <mergeCell ref="B24:E2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39"/>
  <sheetViews>
    <sheetView topLeftCell="A23" zoomScaleNormal="100" workbookViewId="0">
      <selection activeCell="F31" sqref="F31"/>
    </sheetView>
  </sheetViews>
  <sheetFormatPr defaultRowHeight="14"/>
  <cols>
    <col min="2" max="2" width="39.08203125" customWidth="1"/>
    <col min="3" max="3" width="10.6640625" customWidth="1"/>
    <col min="5" max="5" width="13.33203125" customWidth="1"/>
    <col min="6" max="6" width="12.08203125" customWidth="1"/>
  </cols>
  <sheetData>
    <row r="4" spans="2:6" ht="21">
      <c r="B4" s="9" t="s">
        <v>40</v>
      </c>
    </row>
    <row r="5" spans="2:6" ht="15.5">
      <c r="B5" s="8"/>
    </row>
    <row r="6" spans="2:6" ht="62.25" customHeight="1">
      <c r="B6" s="114" t="s">
        <v>16</v>
      </c>
      <c r="C6" s="114" t="s">
        <v>1</v>
      </c>
      <c r="D6" s="114" t="s">
        <v>2</v>
      </c>
      <c r="E6" s="114" t="s">
        <v>53</v>
      </c>
      <c r="F6" s="114" t="s">
        <v>4</v>
      </c>
    </row>
    <row r="7" spans="2:6">
      <c r="B7" s="114"/>
      <c r="C7" s="114"/>
      <c r="D7" s="114"/>
      <c r="E7" s="114"/>
      <c r="F7" s="114"/>
    </row>
    <row r="8" spans="2:6" ht="26.25" customHeight="1">
      <c r="B8" s="45" t="s">
        <v>43</v>
      </c>
      <c r="C8" s="46" t="s">
        <v>18</v>
      </c>
      <c r="D8" s="47">
        <f>3+24+24+12+24+24+24+48+60</f>
        <v>243</v>
      </c>
      <c r="E8" s="68"/>
      <c r="F8" s="48"/>
    </row>
    <row r="9" spans="2:6" ht="22.5" customHeight="1">
      <c r="B9" s="45" t="s">
        <v>69</v>
      </c>
      <c r="C9" s="46" t="s">
        <v>5</v>
      </c>
      <c r="D9" s="38">
        <f>320</f>
        <v>320</v>
      </c>
      <c r="E9" s="47"/>
      <c r="F9" s="48"/>
    </row>
    <row r="10" spans="2:6" ht="15.5">
      <c r="B10" s="45" t="s">
        <v>17</v>
      </c>
      <c r="C10" s="46" t="s">
        <v>5</v>
      </c>
      <c r="D10" s="47">
        <f>60+50+42+58+60+12+50+20+50+39+70+100+34+30+30+50+50+50+50+65+150</f>
        <v>1120</v>
      </c>
      <c r="E10" s="48"/>
      <c r="F10" s="48"/>
    </row>
    <row r="11" spans="2:6" ht="31">
      <c r="B11" s="45" t="s">
        <v>163</v>
      </c>
      <c r="C11" s="46" t="s">
        <v>6</v>
      </c>
      <c r="D11" s="47">
        <v>50</v>
      </c>
      <c r="E11" s="48"/>
      <c r="F11" s="48"/>
    </row>
    <row r="12" spans="2:6" ht="15.5">
      <c r="B12" s="45" t="s">
        <v>164</v>
      </c>
      <c r="C12" s="46" t="s">
        <v>3</v>
      </c>
      <c r="D12" s="47">
        <f>20+20+20+30</f>
        <v>90</v>
      </c>
      <c r="E12" s="48"/>
      <c r="F12" s="48"/>
    </row>
    <row r="13" spans="2:6" ht="15.5">
      <c r="B13" s="45" t="s">
        <v>165</v>
      </c>
      <c r="C13" s="46" t="s">
        <v>5</v>
      </c>
      <c r="D13" s="38">
        <f>16+10</f>
        <v>26</v>
      </c>
      <c r="E13" s="48"/>
      <c r="F13" s="48"/>
    </row>
    <row r="14" spans="2:6" ht="15.5">
      <c r="B14" s="45" t="s">
        <v>166</v>
      </c>
      <c r="C14" s="46" t="s">
        <v>5</v>
      </c>
      <c r="D14" s="47">
        <f>6+8+17+10+11+10+12+10+12+19+36+22+30</f>
        <v>203</v>
      </c>
      <c r="E14" s="48"/>
      <c r="F14" s="48"/>
    </row>
    <row r="15" spans="2:6" ht="21.75" customHeight="1">
      <c r="B15" s="45" t="s">
        <v>167</v>
      </c>
      <c r="C15" s="46" t="s">
        <v>5</v>
      </c>
      <c r="D15" s="47">
        <f>150+10+21+22+27+18</f>
        <v>248</v>
      </c>
      <c r="E15" s="48"/>
      <c r="F15" s="48"/>
    </row>
    <row r="16" spans="2:6" ht="15.5">
      <c r="B16" s="45" t="s">
        <v>168</v>
      </c>
      <c r="C16" s="46" t="s">
        <v>3</v>
      </c>
      <c r="D16" s="47">
        <f>28+36+10+10+10</f>
        <v>94</v>
      </c>
      <c r="E16" s="48"/>
      <c r="F16" s="48"/>
    </row>
    <row r="17" spans="1:6" ht="15.5">
      <c r="B17" s="45" t="s">
        <v>169</v>
      </c>
      <c r="C17" s="46" t="s">
        <v>6</v>
      </c>
      <c r="D17" s="47">
        <v>64</v>
      </c>
      <c r="E17" s="48"/>
      <c r="F17" s="48"/>
    </row>
    <row r="18" spans="1:6" ht="21.75" customHeight="1">
      <c r="B18" s="45" t="s">
        <v>170</v>
      </c>
      <c r="C18" s="46" t="s">
        <v>5</v>
      </c>
      <c r="D18" s="47">
        <f>26+24</f>
        <v>50</v>
      </c>
      <c r="E18" s="48"/>
      <c r="F18" s="48"/>
    </row>
    <row r="19" spans="1:6" ht="20.25" customHeight="1">
      <c r="B19" s="45" t="s">
        <v>171</v>
      </c>
      <c r="C19" s="46" t="s">
        <v>5</v>
      </c>
      <c r="D19" s="47">
        <f>2+2+2+2</f>
        <v>8</v>
      </c>
      <c r="E19" s="48"/>
      <c r="F19" s="48"/>
    </row>
    <row r="20" spans="1:6" ht="20.25" customHeight="1">
      <c r="A20" s="53"/>
      <c r="B20" s="45" t="s">
        <v>178</v>
      </c>
      <c r="C20" s="46" t="s">
        <v>5</v>
      </c>
      <c r="D20" s="47">
        <f>315</f>
        <v>315</v>
      </c>
      <c r="E20" s="48"/>
      <c r="F20" s="48"/>
    </row>
    <row r="21" spans="1:6" ht="20.25" customHeight="1">
      <c r="B21" s="45" t="s">
        <v>172</v>
      </c>
      <c r="C21" s="63" t="s">
        <v>5</v>
      </c>
      <c r="D21" s="63">
        <f>323+427+214+338+180+609</f>
        <v>2091</v>
      </c>
      <c r="E21" s="63"/>
      <c r="F21" s="48"/>
    </row>
    <row r="22" spans="1:6" ht="20.25" customHeight="1">
      <c r="B22" s="45" t="s">
        <v>176</v>
      </c>
      <c r="C22" s="63" t="s">
        <v>3</v>
      </c>
      <c r="D22" s="63">
        <v>288</v>
      </c>
      <c r="E22" s="63"/>
      <c r="F22" s="48"/>
    </row>
    <row r="23" spans="1:6" ht="20.25" customHeight="1">
      <c r="B23" s="45" t="s">
        <v>173</v>
      </c>
      <c r="C23" s="63" t="s">
        <v>5</v>
      </c>
      <c r="D23" s="63">
        <v>314</v>
      </c>
      <c r="E23" s="63"/>
      <c r="F23" s="48"/>
    </row>
    <row r="24" spans="1:6" ht="20.25" customHeight="1">
      <c r="B24" s="45" t="s">
        <v>175</v>
      </c>
      <c r="C24" s="63" t="s">
        <v>5</v>
      </c>
      <c r="D24" s="63">
        <v>12</v>
      </c>
      <c r="E24" s="63"/>
      <c r="F24" s="48"/>
    </row>
    <row r="25" spans="1:6" ht="20.25" customHeight="1">
      <c r="B25" s="45" t="s">
        <v>174</v>
      </c>
      <c r="C25" s="63" t="s">
        <v>3</v>
      </c>
      <c r="D25" s="63">
        <v>20</v>
      </c>
      <c r="E25" s="63"/>
      <c r="F25" s="48"/>
    </row>
    <row r="26" spans="1:6" ht="20.25" customHeight="1">
      <c r="B26" s="52" t="s">
        <v>10</v>
      </c>
      <c r="C26" s="47"/>
      <c r="D26" s="47"/>
      <c r="E26" s="47"/>
      <c r="F26" s="48"/>
    </row>
    <row r="29" spans="1:6" ht="15.5">
      <c r="B29" s="49"/>
    </row>
    <row r="31" spans="1:6" ht="15.5">
      <c r="B31" s="106" t="s">
        <v>179</v>
      </c>
    </row>
    <row r="33" spans="2:2" ht="15.5">
      <c r="B33" s="107" t="s">
        <v>180</v>
      </c>
    </row>
    <row r="36" spans="2:2" ht="15">
      <c r="B36" s="108" t="s">
        <v>181</v>
      </c>
    </row>
    <row r="38" spans="2:2" ht="15.5">
      <c r="B38" s="109" t="s">
        <v>182</v>
      </c>
    </row>
    <row r="39" spans="2:2" ht="15.5">
      <c r="B39" s="110" t="s">
        <v>183</v>
      </c>
    </row>
  </sheetData>
  <mergeCells count="5">
    <mergeCell ref="C6:C7"/>
    <mergeCell ref="B6:B7"/>
    <mergeCell ref="D6:D7"/>
    <mergeCell ref="E6:E7"/>
    <mergeCell ref="F6:F7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5:J103"/>
  <sheetViews>
    <sheetView view="pageBreakPreview" topLeftCell="A68" zoomScale="120" zoomScaleNormal="100" zoomScaleSheetLayoutView="120" workbookViewId="0">
      <selection activeCell="B69" sqref="B69:B77"/>
    </sheetView>
  </sheetViews>
  <sheetFormatPr defaultRowHeight="14"/>
  <cols>
    <col min="2" max="2" width="32.83203125" customWidth="1"/>
    <col min="4" max="4" width="9.08203125" bestFit="1" customWidth="1"/>
    <col min="5" max="5" width="9.1640625" bestFit="1" customWidth="1"/>
    <col min="6" max="6" width="12.83203125" bestFit="1" customWidth="1"/>
  </cols>
  <sheetData>
    <row r="5" spans="2:10" ht="14.5">
      <c r="B5" s="7"/>
    </row>
    <row r="6" spans="2:10" ht="15.5">
      <c r="B6" s="8"/>
    </row>
    <row r="7" spans="2:10" ht="21">
      <c r="B7" s="9" t="s">
        <v>41</v>
      </c>
    </row>
    <row r="8" spans="2:10" ht="18.5">
      <c r="B8" s="10"/>
    </row>
    <row r="9" spans="2:10" ht="18.5">
      <c r="B9" s="10"/>
    </row>
    <row r="10" spans="2:10" ht="62">
      <c r="B10" s="54" t="s">
        <v>0</v>
      </c>
      <c r="C10" s="54" t="s">
        <v>1</v>
      </c>
      <c r="D10" s="54" t="s">
        <v>2</v>
      </c>
      <c r="E10" s="57" t="s">
        <v>53</v>
      </c>
      <c r="F10" s="54" t="s">
        <v>162</v>
      </c>
    </row>
    <row r="11" spans="2:10" ht="15.5">
      <c r="B11" s="45" t="s">
        <v>74</v>
      </c>
      <c r="C11" s="45" t="s">
        <v>3</v>
      </c>
      <c r="D11" s="47">
        <f>4+3+9+12+24+12+12</f>
        <v>76</v>
      </c>
      <c r="E11" s="48"/>
      <c r="F11" s="48"/>
    </row>
    <row r="12" spans="2:10" ht="15.5">
      <c r="B12" s="45" t="s">
        <v>45</v>
      </c>
      <c r="C12" s="45" t="s">
        <v>5</v>
      </c>
      <c r="D12" s="47">
        <f>11+30+53+50+70+46+110+147</f>
        <v>517</v>
      </c>
      <c r="E12" s="48"/>
      <c r="F12" s="48"/>
      <c r="J12" s="77"/>
    </row>
    <row r="13" spans="2:10" ht="15.5">
      <c r="B13" s="45" t="s">
        <v>73</v>
      </c>
      <c r="C13" s="45" t="s">
        <v>5</v>
      </c>
      <c r="D13" s="47">
        <f>75+80+75+50+100+50+12+15+50+48</f>
        <v>555</v>
      </c>
      <c r="E13" s="48"/>
      <c r="F13" s="48"/>
    </row>
    <row r="14" spans="2:10" ht="15.5">
      <c r="B14" s="45" t="s">
        <v>75</v>
      </c>
      <c r="C14" s="45" t="s">
        <v>5</v>
      </c>
      <c r="D14" s="58">
        <f>10+20</f>
        <v>30</v>
      </c>
      <c r="E14" s="48"/>
      <c r="F14" s="48"/>
    </row>
    <row r="15" spans="2:10" ht="15.5">
      <c r="B15" s="45" t="s">
        <v>76</v>
      </c>
      <c r="C15" s="45" t="s">
        <v>5</v>
      </c>
      <c r="D15" s="47">
        <f>10+20+20+40+10</f>
        <v>100</v>
      </c>
      <c r="E15" s="48"/>
      <c r="F15" s="48"/>
    </row>
    <row r="16" spans="2:10" ht="15.5">
      <c r="B16" s="45" t="s">
        <v>77</v>
      </c>
      <c r="C16" s="45" t="s">
        <v>5</v>
      </c>
      <c r="D16" s="47">
        <f>20+10+25</f>
        <v>55</v>
      </c>
      <c r="E16" s="48"/>
      <c r="F16" s="48"/>
    </row>
    <row r="17" spans="2:6" ht="15.5">
      <c r="B17" s="45" t="s">
        <v>78</v>
      </c>
      <c r="C17" s="45" t="s">
        <v>5</v>
      </c>
      <c r="D17" s="47">
        <f>5+5+6</f>
        <v>16</v>
      </c>
      <c r="E17" s="48"/>
      <c r="F17" s="48"/>
    </row>
    <row r="18" spans="2:6" ht="15.5">
      <c r="B18" s="45" t="s">
        <v>79</v>
      </c>
      <c r="C18" s="45" t="s">
        <v>5</v>
      </c>
      <c r="D18" s="47">
        <f>20+10+20</f>
        <v>50</v>
      </c>
      <c r="E18" s="48"/>
      <c r="F18" s="48"/>
    </row>
    <row r="19" spans="2:6" ht="15.5">
      <c r="B19" s="45" t="s">
        <v>80</v>
      </c>
      <c r="C19" s="45" t="s">
        <v>5</v>
      </c>
      <c r="D19" s="47">
        <f>20+18+30+18+20+42+26+40+30</f>
        <v>244</v>
      </c>
      <c r="E19" s="48"/>
      <c r="F19" s="48"/>
    </row>
    <row r="20" spans="2:6" ht="15.5">
      <c r="B20" s="45" t="s">
        <v>81</v>
      </c>
      <c r="C20" s="45" t="s">
        <v>5</v>
      </c>
      <c r="D20" s="47">
        <f>4+30+2</f>
        <v>36</v>
      </c>
      <c r="E20" s="48"/>
      <c r="F20" s="48"/>
    </row>
    <row r="21" spans="2:6" ht="15.5">
      <c r="B21" s="45" t="s">
        <v>82</v>
      </c>
      <c r="C21" s="45" t="s">
        <v>5</v>
      </c>
      <c r="D21" s="47">
        <f>5</f>
        <v>5</v>
      </c>
      <c r="E21" s="48"/>
      <c r="F21" s="48"/>
    </row>
    <row r="22" spans="2:6" ht="15.5">
      <c r="B22" s="45" t="s">
        <v>83</v>
      </c>
      <c r="C22" s="45" t="s">
        <v>6</v>
      </c>
      <c r="D22" s="47">
        <f>1+7.2+4.8</f>
        <v>13</v>
      </c>
      <c r="E22" s="48"/>
      <c r="F22" s="48"/>
    </row>
    <row r="23" spans="2:6" ht="15.5">
      <c r="B23" s="45" t="s">
        <v>84</v>
      </c>
      <c r="C23" s="45" t="s">
        <v>6</v>
      </c>
      <c r="D23" s="47">
        <f>2</f>
        <v>2</v>
      </c>
      <c r="E23" s="48"/>
      <c r="F23" s="48"/>
    </row>
    <row r="24" spans="2:6" ht="15.5">
      <c r="B24" s="66" t="s">
        <v>85</v>
      </c>
      <c r="C24" s="66" t="s">
        <v>6</v>
      </c>
      <c r="D24" s="67">
        <v>2</v>
      </c>
      <c r="E24" s="68"/>
      <c r="F24" s="48"/>
    </row>
    <row r="25" spans="2:6" ht="15.5">
      <c r="B25" s="45" t="s">
        <v>86</v>
      </c>
      <c r="C25" s="45" t="s">
        <v>5</v>
      </c>
      <c r="D25" s="47">
        <f>34+12+22+2+20+18+18</f>
        <v>126</v>
      </c>
      <c r="E25" s="48"/>
      <c r="F25" s="48"/>
    </row>
    <row r="26" spans="2:6" ht="15.5">
      <c r="B26" s="45" t="s">
        <v>87</v>
      </c>
      <c r="C26" s="45" t="s">
        <v>6</v>
      </c>
      <c r="D26" s="47">
        <f>15+15+15+15</f>
        <v>60</v>
      </c>
      <c r="E26" s="48"/>
      <c r="F26" s="48"/>
    </row>
    <row r="27" spans="2:6" ht="15.5">
      <c r="B27" s="45" t="s">
        <v>88</v>
      </c>
      <c r="C27" s="45" t="s">
        <v>6</v>
      </c>
      <c r="D27" s="47">
        <f>60+40+40+20+30+20</f>
        <v>210</v>
      </c>
      <c r="E27" s="48"/>
      <c r="F27" s="48"/>
    </row>
    <row r="28" spans="2:6" ht="15.5">
      <c r="B28" s="45" t="s">
        <v>89</v>
      </c>
      <c r="C28" s="45" t="s">
        <v>6</v>
      </c>
      <c r="D28" s="47">
        <f>10+10</f>
        <v>20</v>
      </c>
      <c r="E28" s="48"/>
      <c r="F28" s="48"/>
    </row>
    <row r="29" spans="2:6" ht="15.5">
      <c r="B29" s="45" t="s">
        <v>90</v>
      </c>
      <c r="C29" s="45" t="s">
        <v>6</v>
      </c>
      <c r="D29" s="47">
        <f>20+25+25</f>
        <v>70</v>
      </c>
      <c r="E29" s="48"/>
      <c r="F29" s="48"/>
    </row>
    <row r="30" spans="2:6" ht="15.5">
      <c r="B30" s="45" t="s">
        <v>91</v>
      </c>
      <c r="C30" s="45" t="s">
        <v>6</v>
      </c>
      <c r="D30" s="47">
        <f>4+10+8+3+4+8+4+16+8</f>
        <v>65</v>
      </c>
      <c r="E30" s="48"/>
      <c r="F30" s="48"/>
    </row>
    <row r="31" spans="2:6" ht="124">
      <c r="B31" s="45" t="s">
        <v>92</v>
      </c>
      <c r="C31" s="45" t="s">
        <v>5</v>
      </c>
      <c r="D31" s="47">
        <f>36+24+56+28+20+20+20+20+20</f>
        <v>244</v>
      </c>
      <c r="E31" s="48"/>
      <c r="F31" s="48"/>
    </row>
    <row r="32" spans="2:6" ht="124">
      <c r="B32" s="45" t="s">
        <v>111</v>
      </c>
      <c r="C32" s="45" t="s">
        <v>5</v>
      </c>
      <c r="D32" s="47">
        <f>26+27+24</f>
        <v>77</v>
      </c>
      <c r="E32" s="48"/>
      <c r="F32" s="48"/>
    </row>
    <row r="33" spans="2:6" ht="124">
      <c r="B33" s="45" t="s">
        <v>112</v>
      </c>
      <c r="C33" s="45" t="s">
        <v>5</v>
      </c>
      <c r="D33" s="47">
        <f>26+24+24+24+5+6</f>
        <v>109</v>
      </c>
      <c r="E33" s="48"/>
      <c r="F33" s="48"/>
    </row>
    <row r="34" spans="2:6" ht="124">
      <c r="B34" s="45" t="s">
        <v>113</v>
      </c>
      <c r="C34" s="45" t="s">
        <v>5</v>
      </c>
      <c r="D34" s="47">
        <f>20+40+60+40+50+60+60+60+40+40+26+15+3+17+40+25+25+20</f>
        <v>641</v>
      </c>
      <c r="E34" s="48"/>
      <c r="F34" s="48"/>
    </row>
    <row r="35" spans="2:6" ht="15.5">
      <c r="B35" s="45" t="s">
        <v>94</v>
      </c>
      <c r="C35" s="45" t="s">
        <v>5</v>
      </c>
      <c r="D35" s="47">
        <f>22</f>
        <v>22</v>
      </c>
      <c r="E35" s="48"/>
      <c r="F35" s="48"/>
    </row>
    <row r="36" spans="2:6" ht="15.5">
      <c r="B36" s="45" t="s">
        <v>93</v>
      </c>
      <c r="C36" s="45" t="s">
        <v>3</v>
      </c>
      <c r="D36" s="47">
        <f>20</f>
        <v>20</v>
      </c>
      <c r="E36" s="48"/>
      <c r="F36" s="48"/>
    </row>
    <row r="37" spans="2:6" ht="15.5">
      <c r="B37" s="45" t="s">
        <v>95</v>
      </c>
      <c r="C37" s="45" t="s">
        <v>5</v>
      </c>
      <c r="D37" s="47">
        <f>25+21+44+10</f>
        <v>100</v>
      </c>
      <c r="E37" s="48"/>
      <c r="F37" s="48"/>
    </row>
    <row r="38" spans="2:6" ht="15.5">
      <c r="B38" s="45" t="s">
        <v>96</v>
      </c>
      <c r="C38" s="45" t="s">
        <v>5</v>
      </c>
      <c r="D38" s="47">
        <f>21+20</f>
        <v>41</v>
      </c>
      <c r="E38" s="48"/>
      <c r="F38" s="48"/>
    </row>
    <row r="39" spans="2:6" ht="15.5">
      <c r="B39" s="45" t="s">
        <v>97</v>
      </c>
      <c r="C39" s="45" t="s">
        <v>3</v>
      </c>
      <c r="D39" s="47">
        <f>4+4+6+2+6+6</f>
        <v>28</v>
      </c>
      <c r="E39" s="48"/>
      <c r="F39" s="48"/>
    </row>
    <row r="40" spans="2:6" ht="15.5">
      <c r="B40" s="45" t="s">
        <v>98</v>
      </c>
      <c r="C40" s="45" t="s">
        <v>3</v>
      </c>
      <c r="D40" s="47">
        <f>6</f>
        <v>6</v>
      </c>
      <c r="E40" s="48"/>
      <c r="F40" s="48"/>
    </row>
    <row r="41" spans="2:6" ht="15.5">
      <c r="B41" s="45" t="s">
        <v>99</v>
      </c>
      <c r="C41" s="45" t="s">
        <v>8</v>
      </c>
      <c r="D41" s="47">
        <f>6+4+3+2+2</f>
        <v>17</v>
      </c>
      <c r="E41" s="48"/>
      <c r="F41" s="48"/>
    </row>
    <row r="42" spans="2:6" ht="15.5">
      <c r="B42" s="45" t="s">
        <v>100</v>
      </c>
      <c r="C42" s="66" t="s">
        <v>9</v>
      </c>
      <c r="D42" s="67">
        <f>24</f>
        <v>24</v>
      </c>
      <c r="E42" s="68"/>
      <c r="F42" s="48"/>
    </row>
    <row r="43" spans="2:6" ht="15.5">
      <c r="B43" s="45" t="s">
        <v>101</v>
      </c>
      <c r="C43" s="45" t="s">
        <v>5</v>
      </c>
      <c r="D43" s="47">
        <f>4+10+10</f>
        <v>24</v>
      </c>
      <c r="E43" s="48"/>
      <c r="F43" s="48"/>
    </row>
    <row r="44" spans="2:6" ht="15.5">
      <c r="B44" s="45" t="s">
        <v>102</v>
      </c>
      <c r="C44" s="45" t="s">
        <v>8</v>
      </c>
      <c r="D44" s="47">
        <f>20+60+50+80+10+10+20+30+30+7+30+20</f>
        <v>367</v>
      </c>
      <c r="E44" s="48"/>
      <c r="F44" s="48"/>
    </row>
    <row r="45" spans="2:6" ht="15.5">
      <c r="B45" s="45" t="s">
        <v>103</v>
      </c>
      <c r="C45" s="45" t="s">
        <v>3</v>
      </c>
      <c r="D45" s="47">
        <f>2+2+22</f>
        <v>26</v>
      </c>
      <c r="E45" s="48"/>
      <c r="F45" s="48"/>
    </row>
    <row r="46" spans="2:6" ht="15.5">
      <c r="B46" s="45" t="s">
        <v>104</v>
      </c>
      <c r="C46" s="45" t="s">
        <v>5</v>
      </c>
      <c r="D46" s="47">
        <f>1+3+10+3+6+6+3+10</f>
        <v>42</v>
      </c>
      <c r="E46" s="48"/>
      <c r="F46" s="48"/>
    </row>
    <row r="47" spans="2:6" ht="15.5">
      <c r="B47" s="45" t="s">
        <v>105</v>
      </c>
      <c r="C47" s="45" t="s">
        <v>5</v>
      </c>
      <c r="D47" s="47">
        <f>15+6</f>
        <v>21</v>
      </c>
      <c r="E47" s="48"/>
      <c r="F47" s="48"/>
    </row>
    <row r="48" spans="2:6" ht="15.5">
      <c r="B48" s="45" t="s">
        <v>106</v>
      </c>
      <c r="C48" s="45" t="s">
        <v>8</v>
      </c>
      <c r="D48" s="47">
        <f>6+30+18+15+15</f>
        <v>84</v>
      </c>
      <c r="E48" s="48"/>
      <c r="F48" s="48"/>
    </row>
    <row r="49" spans="2:6" ht="15.5">
      <c r="B49" s="45" t="s">
        <v>107</v>
      </c>
      <c r="C49" s="45" t="s">
        <v>5</v>
      </c>
      <c r="D49" s="47">
        <f>80+40+15+24+21+24</f>
        <v>204</v>
      </c>
      <c r="E49" s="48"/>
      <c r="F49" s="48"/>
    </row>
    <row r="50" spans="2:6" ht="15.5">
      <c r="B50" s="45" t="s">
        <v>108</v>
      </c>
      <c r="C50" s="45" t="s">
        <v>5</v>
      </c>
      <c r="D50" s="47">
        <f>15+7+30+45+105+90+150</f>
        <v>442</v>
      </c>
      <c r="E50" s="48"/>
      <c r="F50" s="48"/>
    </row>
    <row r="51" spans="2:6" ht="15.5">
      <c r="B51" s="45" t="s">
        <v>109</v>
      </c>
      <c r="C51" s="45" t="s">
        <v>5</v>
      </c>
      <c r="D51" s="47">
        <f>2+6+2+2+2</f>
        <v>14</v>
      </c>
      <c r="E51" s="48"/>
      <c r="F51" s="48"/>
    </row>
    <row r="52" spans="2:6" ht="15.5">
      <c r="B52" s="45" t="s">
        <v>110</v>
      </c>
      <c r="C52" s="45" t="s">
        <v>5</v>
      </c>
      <c r="D52" s="47">
        <f>3+2+4+14</f>
        <v>23</v>
      </c>
      <c r="E52" s="48"/>
      <c r="F52" s="48"/>
    </row>
    <row r="53" spans="2:6" ht="15.5">
      <c r="B53" s="45" t="s">
        <v>114</v>
      </c>
      <c r="C53" s="45" t="s">
        <v>6</v>
      </c>
      <c r="D53" s="47">
        <f>2+45+20+20+40+10+7+10</f>
        <v>154</v>
      </c>
      <c r="E53" s="48"/>
      <c r="F53" s="48"/>
    </row>
    <row r="54" spans="2:6" ht="15.5">
      <c r="B54" s="45" t="s">
        <v>115</v>
      </c>
      <c r="C54" s="45" t="s">
        <v>9</v>
      </c>
      <c r="D54" s="47">
        <f>56+41+24+20</f>
        <v>141</v>
      </c>
      <c r="E54" s="48"/>
      <c r="F54" s="48"/>
    </row>
    <row r="55" spans="2:6" ht="15.5">
      <c r="B55" s="45" t="s">
        <v>116</v>
      </c>
      <c r="C55" s="45" t="s">
        <v>8</v>
      </c>
      <c r="D55" s="47">
        <f>20+10+20+10</f>
        <v>60</v>
      </c>
      <c r="E55" s="48"/>
      <c r="F55" s="48"/>
    </row>
    <row r="56" spans="2:6" ht="15.5">
      <c r="B56" s="59" t="s">
        <v>117</v>
      </c>
      <c r="C56" s="45" t="s">
        <v>8</v>
      </c>
      <c r="D56" s="47">
        <f>40+80+80+35+40+25+40+20</f>
        <v>360</v>
      </c>
      <c r="E56" s="48"/>
      <c r="F56" s="48"/>
    </row>
    <row r="57" spans="2:6" ht="15.5">
      <c r="B57" s="45" t="s">
        <v>118</v>
      </c>
      <c r="C57" s="45" t="s">
        <v>5</v>
      </c>
      <c r="D57" s="47">
        <f>25+60</f>
        <v>85</v>
      </c>
      <c r="E57" s="48"/>
      <c r="F57" s="48"/>
    </row>
    <row r="58" spans="2:6" ht="15.5">
      <c r="B58" s="62" t="s">
        <v>119</v>
      </c>
      <c r="C58" s="93" t="s">
        <v>5</v>
      </c>
      <c r="D58" s="38">
        <f>6+13+17+19</f>
        <v>55</v>
      </c>
      <c r="E58" s="38"/>
      <c r="F58" s="48"/>
    </row>
    <row r="59" spans="2:6" ht="15.5">
      <c r="B59" s="38" t="s">
        <v>120</v>
      </c>
      <c r="C59" s="94" t="s">
        <v>54</v>
      </c>
      <c r="D59" s="38">
        <f>25+10+25+25</f>
        <v>85</v>
      </c>
      <c r="E59" s="48"/>
      <c r="F59" s="38"/>
    </row>
    <row r="60" spans="2:6" ht="15.5">
      <c r="B60" s="38" t="s">
        <v>121</v>
      </c>
      <c r="C60" s="94" t="s">
        <v>54</v>
      </c>
      <c r="D60" s="38">
        <f>20+10+14+25+20+25</f>
        <v>114</v>
      </c>
      <c r="E60" s="48"/>
      <c r="F60" s="38"/>
    </row>
    <row r="61" spans="2:6" ht="15.5">
      <c r="B61" s="38" t="s">
        <v>122</v>
      </c>
      <c r="C61" s="94" t="s">
        <v>54</v>
      </c>
      <c r="D61" s="38">
        <f>25+10+20+24</f>
        <v>79</v>
      </c>
      <c r="E61" s="48"/>
      <c r="F61" s="38"/>
    </row>
    <row r="62" spans="2:6" ht="15.5">
      <c r="B62" s="38" t="s">
        <v>123</v>
      </c>
      <c r="C62" s="94" t="s">
        <v>6</v>
      </c>
      <c r="D62" s="38">
        <f>1+1+1+1</f>
        <v>4</v>
      </c>
      <c r="E62" s="48"/>
      <c r="F62" s="38"/>
    </row>
    <row r="63" spans="2:6" ht="15.5">
      <c r="B63" s="38" t="s">
        <v>124</v>
      </c>
      <c r="C63" s="94" t="s">
        <v>54</v>
      </c>
      <c r="D63" s="38">
        <f>3+6+6+8+2+6</f>
        <v>31</v>
      </c>
      <c r="E63" s="48"/>
      <c r="F63" s="38"/>
    </row>
    <row r="64" spans="2:6" ht="15.5">
      <c r="B64" s="38" t="s">
        <v>126</v>
      </c>
      <c r="C64" s="94" t="s">
        <v>3</v>
      </c>
      <c r="D64" s="38">
        <f>30+40+20+20+40+50+20+60+40+40</f>
        <v>360</v>
      </c>
      <c r="E64" s="48"/>
      <c r="F64" s="38"/>
    </row>
    <row r="65" spans="2:6" ht="15.5">
      <c r="B65" s="45" t="s">
        <v>125</v>
      </c>
      <c r="C65" s="94" t="s">
        <v>3</v>
      </c>
      <c r="D65" s="47">
        <f>20</f>
        <v>20</v>
      </c>
      <c r="E65" s="48"/>
      <c r="F65" s="38"/>
    </row>
    <row r="66" spans="2:6" ht="15.5">
      <c r="B66" s="45"/>
      <c r="F66" s="79">
        <f>SUM(F11:F65)</f>
        <v>0</v>
      </c>
    </row>
    <row r="67" spans="2:6" ht="15.5">
      <c r="C67" s="71"/>
      <c r="E67" s="50"/>
      <c r="F67" s="70"/>
    </row>
    <row r="68" spans="2:6" ht="20.25" customHeight="1">
      <c r="B68" s="49"/>
      <c r="C68" s="71"/>
      <c r="D68" s="50"/>
      <c r="E68" s="70"/>
      <c r="F68" s="70"/>
    </row>
    <row r="69" spans="2:6" ht="20.25" customHeight="1">
      <c r="B69" s="106" t="s">
        <v>179</v>
      </c>
      <c r="C69" s="71"/>
      <c r="D69" s="50"/>
      <c r="E69" s="70"/>
      <c r="F69" s="70"/>
    </row>
    <row r="70" spans="2:6" ht="16.5" hidden="1" customHeight="1">
      <c r="C70" s="71"/>
      <c r="D70" s="50"/>
      <c r="E70" s="70"/>
      <c r="F70" s="70"/>
    </row>
    <row r="71" spans="2:6" ht="15.5">
      <c r="B71" s="107" t="s">
        <v>180</v>
      </c>
      <c r="C71" s="71"/>
      <c r="D71" s="50"/>
      <c r="E71" s="70"/>
      <c r="F71" s="70"/>
    </row>
    <row r="72" spans="2:6" ht="15.5">
      <c r="C72" s="71"/>
      <c r="E72" s="70"/>
      <c r="F72" s="70"/>
    </row>
    <row r="73" spans="2:6" ht="15.5">
      <c r="C73" s="71"/>
      <c r="D73" s="50"/>
      <c r="E73" s="70"/>
      <c r="F73" s="70"/>
    </row>
    <row r="74" spans="2:6" ht="15.5">
      <c r="B74" s="108" t="s">
        <v>181</v>
      </c>
      <c r="C74" s="71"/>
      <c r="D74" s="50"/>
      <c r="E74" s="70"/>
      <c r="F74" s="70"/>
    </row>
    <row r="75" spans="2:6" ht="15.5">
      <c r="C75" s="71"/>
      <c r="D75" s="50"/>
      <c r="E75" s="70"/>
      <c r="F75" s="70"/>
    </row>
    <row r="76" spans="2:6" ht="15.5">
      <c r="B76" s="109" t="s">
        <v>182</v>
      </c>
      <c r="C76" s="71"/>
      <c r="D76" s="50"/>
      <c r="E76" s="70"/>
      <c r="F76" s="70"/>
    </row>
    <row r="77" spans="2:6" ht="15.5">
      <c r="B77" s="110" t="s">
        <v>183</v>
      </c>
      <c r="C77" s="71"/>
      <c r="D77" s="50"/>
      <c r="E77" s="70"/>
      <c r="F77" s="70"/>
    </row>
    <row r="78" spans="2:6" ht="15.5">
      <c r="B78" s="49"/>
      <c r="C78" s="71"/>
      <c r="D78" s="50"/>
      <c r="E78" s="70"/>
      <c r="F78" s="70"/>
    </row>
    <row r="79" spans="2:6" ht="15.5">
      <c r="B79" s="49"/>
      <c r="C79" s="71"/>
      <c r="D79" s="50"/>
      <c r="E79" s="70"/>
      <c r="F79" s="70"/>
    </row>
    <row r="80" spans="2:6" ht="15.5">
      <c r="B80" s="49"/>
      <c r="C80" s="71"/>
      <c r="D80" s="50"/>
      <c r="E80" s="70"/>
      <c r="F80" s="70"/>
    </row>
    <row r="81" spans="2:6" ht="15.5">
      <c r="B81" s="49"/>
      <c r="C81" s="50"/>
      <c r="D81" s="50"/>
      <c r="E81" s="70"/>
      <c r="F81" s="70"/>
    </row>
    <row r="82" spans="2:6" ht="15.5">
      <c r="B82" s="72"/>
      <c r="C82" s="50"/>
      <c r="D82" s="50"/>
      <c r="E82" s="70"/>
      <c r="F82" s="70"/>
    </row>
    <row r="83" spans="2:6" ht="33.75" customHeight="1">
      <c r="B83" s="49"/>
      <c r="C83" s="50"/>
      <c r="D83" s="50"/>
      <c r="E83" s="70"/>
      <c r="F83" s="70"/>
    </row>
    <row r="84" spans="2:6" ht="36" customHeight="1">
      <c r="B84" s="73"/>
      <c r="C84" s="50"/>
      <c r="D84" s="50"/>
      <c r="E84" s="70"/>
      <c r="F84" s="70"/>
    </row>
    <row r="85" spans="2:6" ht="32.25" customHeight="1">
      <c r="B85" s="73"/>
      <c r="C85" s="50"/>
      <c r="D85" s="50"/>
      <c r="E85" s="70"/>
      <c r="F85" s="70"/>
    </row>
    <row r="86" spans="2:6" ht="15.5">
      <c r="B86" s="49"/>
      <c r="C86" s="50"/>
      <c r="D86" s="50"/>
      <c r="E86" s="70"/>
      <c r="F86" s="70"/>
    </row>
    <row r="87" spans="2:6" ht="15.5">
      <c r="B87" s="73"/>
      <c r="C87" s="50"/>
      <c r="D87" s="50"/>
      <c r="E87" s="70"/>
      <c r="F87" s="70"/>
    </row>
    <row r="88" spans="2:6" ht="15.5">
      <c r="B88" s="49"/>
      <c r="C88" s="50"/>
      <c r="D88" s="50"/>
      <c r="E88" s="70"/>
      <c r="F88" s="70"/>
    </row>
    <row r="89" spans="2:6" ht="15.5">
      <c r="B89" s="49"/>
      <c r="C89" s="50"/>
      <c r="D89" s="50"/>
      <c r="E89" s="70"/>
      <c r="F89" s="70"/>
    </row>
    <row r="90" spans="2:6" ht="15.5">
      <c r="B90" s="49"/>
      <c r="C90" s="50"/>
      <c r="D90" s="50"/>
      <c r="E90" s="70"/>
      <c r="F90" s="70"/>
    </row>
    <row r="91" spans="2:6" ht="15.5">
      <c r="B91" s="49"/>
      <c r="C91" s="74"/>
      <c r="D91" s="74"/>
      <c r="E91" s="70"/>
      <c r="F91" s="70"/>
    </row>
    <row r="92" spans="2:6" ht="15.5">
      <c r="B92" s="74"/>
      <c r="C92" s="49"/>
      <c r="D92" s="50"/>
      <c r="E92" s="70"/>
      <c r="F92" s="76"/>
    </row>
    <row r="93" spans="2:6" ht="15.5">
      <c r="B93" s="75"/>
      <c r="C93" s="49"/>
      <c r="D93" s="50"/>
      <c r="E93" s="70"/>
      <c r="F93" s="70"/>
    </row>
    <row r="94" spans="2:6" ht="15.5">
      <c r="B94" s="49"/>
    </row>
    <row r="97" spans="2:6" ht="32.25" customHeight="1"/>
    <row r="98" spans="2:6" ht="15.5">
      <c r="C98" s="49"/>
      <c r="D98" s="50"/>
      <c r="E98" s="70"/>
      <c r="F98" s="70"/>
    </row>
    <row r="99" spans="2:6" ht="15.5">
      <c r="B99" s="51"/>
    </row>
    <row r="101" spans="2:6" ht="14.5">
      <c r="C101" s="78"/>
      <c r="D101" s="78"/>
      <c r="E101" s="78"/>
      <c r="F101" s="78"/>
    </row>
    <row r="102" spans="2:6" ht="15.5">
      <c r="B102" s="77"/>
    </row>
    <row r="103" spans="2:6">
      <c r="E103" s="44"/>
    </row>
  </sheetData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5:I41"/>
  <sheetViews>
    <sheetView view="pageBreakPreview" topLeftCell="B26" zoomScaleNormal="100" zoomScaleSheetLayoutView="100" workbookViewId="0">
      <selection activeCell="D28" sqref="D28:D36"/>
    </sheetView>
  </sheetViews>
  <sheetFormatPr defaultRowHeight="14"/>
  <cols>
    <col min="4" max="4" width="29.1640625" customWidth="1"/>
    <col min="6" max="7" width="9.08203125" bestFit="1" customWidth="1"/>
    <col min="8" max="8" width="15" customWidth="1"/>
  </cols>
  <sheetData>
    <row r="5" spans="4:8" ht="14.5">
      <c r="F5" s="7"/>
    </row>
    <row r="6" spans="4:8">
      <c r="D6" s="19"/>
    </row>
    <row r="7" spans="4:8" ht="21">
      <c r="D7" s="9" t="s">
        <v>42</v>
      </c>
    </row>
    <row r="8" spans="4:8" ht="21">
      <c r="D8" s="9" t="s">
        <v>142</v>
      </c>
    </row>
    <row r="9" spans="4:8" ht="16" thickBot="1">
      <c r="D9" s="8"/>
    </row>
    <row r="10" spans="4:8" ht="62.5" thickBot="1">
      <c r="D10" s="1" t="s">
        <v>0</v>
      </c>
      <c r="E10" s="13" t="s">
        <v>1</v>
      </c>
      <c r="F10" s="13" t="s">
        <v>2</v>
      </c>
      <c r="G10" s="13" t="s">
        <v>161</v>
      </c>
      <c r="H10" s="22" t="s">
        <v>4</v>
      </c>
    </row>
    <row r="11" spans="4:8" ht="40.5" customHeight="1" thickBot="1">
      <c r="D11" s="2" t="s">
        <v>127</v>
      </c>
      <c r="E11" s="18" t="s">
        <v>9</v>
      </c>
      <c r="F11" s="18">
        <f>53+22+14+14+80</f>
        <v>183</v>
      </c>
      <c r="G11" s="48"/>
      <c r="H11" s="48"/>
    </row>
    <row r="12" spans="4:8" ht="40.5" customHeight="1" thickBot="1">
      <c r="D12" s="2" t="s">
        <v>128</v>
      </c>
      <c r="E12" s="12" t="s">
        <v>9</v>
      </c>
      <c r="F12" s="18">
        <f>168+26+26+36+59+36+29</f>
        <v>380</v>
      </c>
      <c r="G12" s="48"/>
      <c r="H12" s="48"/>
    </row>
    <row r="13" spans="4:8" ht="40.5" customHeight="1" thickBot="1">
      <c r="D13" s="17" t="s">
        <v>129</v>
      </c>
      <c r="E13" s="12" t="s">
        <v>9</v>
      </c>
      <c r="F13" s="18">
        <f>12+36+12+6+12</f>
        <v>78</v>
      </c>
      <c r="G13" s="48"/>
      <c r="H13" s="48"/>
    </row>
    <row r="14" spans="4:8" ht="40.5" customHeight="1" thickBot="1">
      <c r="D14" s="2" t="s">
        <v>130</v>
      </c>
      <c r="E14" s="12" t="s">
        <v>9</v>
      </c>
      <c r="F14" s="18">
        <v>23</v>
      </c>
      <c r="G14" s="48"/>
      <c r="H14" s="48"/>
    </row>
    <row r="15" spans="4:8" ht="40.5" customHeight="1" thickBot="1">
      <c r="D15" s="2" t="s">
        <v>131</v>
      </c>
      <c r="E15" s="12" t="s">
        <v>9</v>
      </c>
      <c r="F15" s="18">
        <f>53+9+8+11+9+12</f>
        <v>102</v>
      </c>
      <c r="G15" s="48"/>
      <c r="H15" s="48"/>
    </row>
    <row r="16" spans="4:8" ht="40.5" customHeight="1" thickBot="1">
      <c r="D16" s="2" t="s">
        <v>132</v>
      </c>
      <c r="E16" s="12" t="s">
        <v>9</v>
      </c>
      <c r="F16" s="18">
        <f>12+12+9+13+14</f>
        <v>60</v>
      </c>
      <c r="G16" s="48"/>
      <c r="H16" s="48"/>
    </row>
    <row r="17" spans="4:9" ht="40.5" customHeight="1" thickBot="1">
      <c r="D17" s="15" t="s">
        <v>133</v>
      </c>
      <c r="E17" s="24" t="s">
        <v>9</v>
      </c>
      <c r="F17" s="24">
        <f>7+16+6+15+9+12+15</f>
        <v>80</v>
      </c>
      <c r="G17" s="80"/>
      <c r="H17" s="80"/>
    </row>
    <row r="18" spans="4:9" ht="40.5" customHeight="1">
      <c r="D18" s="84" t="s">
        <v>134</v>
      </c>
      <c r="E18" s="83" t="s">
        <v>9</v>
      </c>
      <c r="F18" s="47">
        <f>30+9+10+10+10</f>
        <v>69</v>
      </c>
      <c r="G18" s="48"/>
      <c r="H18" s="80"/>
    </row>
    <row r="19" spans="4:9" ht="40.5" customHeight="1">
      <c r="D19" s="85" t="s">
        <v>135</v>
      </c>
      <c r="E19" s="83" t="s">
        <v>3</v>
      </c>
      <c r="F19" s="47">
        <f>70+70+60</f>
        <v>200</v>
      </c>
      <c r="G19" s="48"/>
      <c r="H19" s="80"/>
    </row>
    <row r="20" spans="4:9" ht="40.5" customHeight="1">
      <c r="D20" s="85" t="s">
        <v>136</v>
      </c>
      <c r="E20" s="83" t="s">
        <v>3</v>
      </c>
      <c r="F20" s="47">
        <f>29+32+25+27</f>
        <v>113</v>
      </c>
      <c r="G20" s="48"/>
      <c r="H20" s="80"/>
    </row>
    <row r="21" spans="4:9" ht="40.5" customHeight="1">
      <c r="D21" s="85" t="s">
        <v>137</v>
      </c>
      <c r="E21" s="83" t="s">
        <v>3</v>
      </c>
      <c r="F21" s="47">
        <v>60</v>
      </c>
      <c r="G21" s="48"/>
      <c r="H21" s="80"/>
    </row>
    <row r="22" spans="4:9" ht="48.75" customHeight="1" thickBot="1">
      <c r="D22" s="87" t="s">
        <v>138</v>
      </c>
      <c r="E22" s="88" t="s">
        <v>3</v>
      </c>
      <c r="F22" s="89">
        <f>44+36+19</f>
        <v>99</v>
      </c>
      <c r="G22" s="80"/>
      <c r="H22" s="80"/>
    </row>
    <row r="23" spans="4:9" ht="48.75" customHeight="1" thickBot="1">
      <c r="D23" s="90" t="s">
        <v>139</v>
      </c>
      <c r="E23" s="62" t="s">
        <v>3</v>
      </c>
      <c r="F23" s="62">
        <f>17+14+13</f>
        <v>44</v>
      </c>
      <c r="G23" s="48"/>
      <c r="H23" s="48"/>
    </row>
    <row r="24" spans="4:9" ht="48.75" customHeight="1" thickBot="1">
      <c r="D24" s="86" t="s">
        <v>140</v>
      </c>
      <c r="E24" s="92" t="s">
        <v>3</v>
      </c>
      <c r="F24" s="92">
        <f>10</f>
        <v>10</v>
      </c>
      <c r="G24" s="48"/>
      <c r="H24" s="48"/>
    </row>
    <row r="25" spans="4:9" ht="48.75" customHeight="1" thickBot="1">
      <c r="D25" s="86" t="s">
        <v>141</v>
      </c>
      <c r="E25" s="92" t="s">
        <v>3</v>
      </c>
      <c r="F25" s="92">
        <f>10+6+9+8</f>
        <v>33</v>
      </c>
      <c r="G25" s="48"/>
      <c r="H25" s="48"/>
    </row>
    <row r="26" spans="4:9" ht="40.5" customHeight="1" thickBot="1">
      <c r="D26" s="115" t="s">
        <v>10</v>
      </c>
      <c r="E26" s="116"/>
      <c r="F26" s="116"/>
      <c r="G26" s="117"/>
      <c r="H26" s="91">
        <f>SUM(H11:H25)</f>
        <v>0</v>
      </c>
    </row>
    <row r="27" spans="4:9" ht="40.5" customHeight="1">
      <c r="D27" s="49"/>
    </row>
    <row r="28" spans="4:9" ht="40.5" customHeight="1">
      <c r="D28" s="106" t="s">
        <v>179</v>
      </c>
    </row>
    <row r="29" spans="4:9" ht="48.75" customHeight="1">
      <c r="I29" t="s">
        <v>39</v>
      </c>
    </row>
    <row r="30" spans="4:9" ht="40.5" customHeight="1">
      <c r="D30" s="107" t="s">
        <v>180</v>
      </c>
    </row>
    <row r="31" spans="4:9" ht="40.5" customHeight="1"/>
    <row r="32" spans="4:9" ht="40.5" customHeight="1"/>
    <row r="33" spans="4:7" ht="47.25" customHeight="1">
      <c r="D33" s="108" t="s">
        <v>181</v>
      </c>
    </row>
    <row r="35" spans="4:7" ht="15.5">
      <c r="D35" s="109" t="s">
        <v>182</v>
      </c>
    </row>
    <row r="36" spans="4:7" ht="15.5">
      <c r="D36" s="110" t="s">
        <v>183</v>
      </c>
    </row>
    <row r="37" spans="4:7">
      <c r="D37" s="20"/>
    </row>
    <row r="38" spans="4:7" ht="15.5">
      <c r="D38" s="14"/>
    </row>
    <row r="39" spans="4:7" ht="15.5">
      <c r="D39" s="14"/>
    </row>
    <row r="40" spans="4:7" ht="15.5">
      <c r="D40" s="14"/>
    </row>
    <row r="41" spans="4:7" ht="15.5">
      <c r="D41" s="14" t="s">
        <v>15</v>
      </c>
      <c r="G41" s="44"/>
    </row>
  </sheetData>
  <mergeCells count="1">
    <mergeCell ref="D26:G26"/>
  </mergeCells>
  <pageMargins left="0.7" right="0.7" top="0.75" bottom="0.75" header="0.3" footer="0.3"/>
  <pageSetup paperSize="9" scale="5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>
      <selection activeCell="J8" sqref="J8:J9"/>
    </sheetView>
  </sheetViews>
  <sheetFormatPr defaultRowHeight="14"/>
  <cols>
    <col min="5" max="5" width="10.58203125" bestFit="1" customWidth="1"/>
  </cols>
  <sheetData>
    <row r="1" spans="1:5" ht="21">
      <c r="A1" s="9" t="s">
        <v>55</v>
      </c>
    </row>
    <row r="2" spans="1:5" ht="14.5" thickBot="1"/>
    <row r="3" spans="1:5">
      <c r="A3" s="118" t="s">
        <v>16</v>
      </c>
      <c r="B3" s="118" t="s">
        <v>1</v>
      </c>
      <c r="C3" s="118" t="s">
        <v>2</v>
      </c>
      <c r="D3" s="118" t="s">
        <v>147</v>
      </c>
      <c r="E3" s="120" t="s">
        <v>148</v>
      </c>
    </row>
    <row r="4" spans="1:5" ht="78" customHeight="1">
      <c r="A4" s="119"/>
      <c r="B4" s="119"/>
      <c r="C4" s="119"/>
      <c r="D4" s="119"/>
      <c r="E4" s="121"/>
    </row>
    <row r="5" spans="1:5" ht="15.5">
      <c r="A5" s="55" t="s">
        <v>44</v>
      </c>
      <c r="B5" s="54" t="s">
        <v>5</v>
      </c>
      <c r="C5" s="52">
        <f>930+1470+660+690+180+120+570+435</f>
        <v>5055</v>
      </c>
      <c r="D5" s="52"/>
      <c r="E5" s="56"/>
    </row>
    <row r="7" spans="1:5" ht="15.5">
      <c r="C7" s="106" t="s">
        <v>179</v>
      </c>
    </row>
    <row r="9" spans="1:5" ht="15.5">
      <c r="C9" s="107" t="s">
        <v>180</v>
      </c>
    </row>
    <row r="12" spans="1:5" ht="15">
      <c r="C12" s="108" t="s">
        <v>181</v>
      </c>
    </row>
    <row r="14" spans="1:5" ht="15.5">
      <c r="C14" s="109" t="s">
        <v>182</v>
      </c>
    </row>
    <row r="15" spans="1:5" ht="15.5">
      <c r="C15" s="110" t="s">
        <v>183</v>
      </c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50"/>
  <sheetViews>
    <sheetView topLeftCell="B35" zoomScale="140" zoomScaleNormal="140" workbookViewId="0">
      <selection activeCell="I43" sqref="I43"/>
    </sheetView>
  </sheetViews>
  <sheetFormatPr defaultRowHeight="14"/>
  <cols>
    <col min="2" max="2" width="18.5" customWidth="1"/>
    <col min="3" max="3" width="8.6640625" style="69"/>
    <col min="4" max="5" width="9.08203125" bestFit="1" customWidth="1"/>
    <col min="6" max="6" width="13.5" bestFit="1" customWidth="1"/>
  </cols>
  <sheetData>
    <row r="4" spans="2:6" ht="21">
      <c r="B4" s="9" t="s">
        <v>51</v>
      </c>
    </row>
    <row r="5" spans="2:6" ht="16" thickBot="1">
      <c r="B5" s="25"/>
    </row>
    <row r="6" spans="2:6" ht="48.5" thickBot="1">
      <c r="B6" s="97" t="s">
        <v>0</v>
      </c>
      <c r="C6" s="103" t="s">
        <v>1</v>
      </c>
      <c r="D6" s="13" t="s">
        <v>2</v>
      </c>
      <c r="E6" s="26" t="s">
        <v>145</v>
      </c>
      <c r="F6" s="27" t="s">
        <v>146</v>
      </c>
    </row>
    <row r="7" spans="2:6" ht="16" thickBot="1">
      <c r="B7" s="98" t="s">
        <v>19</v>
      </c>
      <c r="C7" s="104" t="s">
        <v>6</v>
      </c>
      <c r="D7" s="12">
        <f>6+36+36+72+165+72+72+54+72</f>
        <v>585</v>
      </c>
      <c r="E7" s="37"/>
      <c r="F7" s="36"/>
    </row>
    <row r="8" spans="2:6" ht="16" thickBot="1">
      <c r="B8" s="98" t="s">
        <v>20</v>
      </c>
      <c r="C8" s="104" t="s">
        <v>6</v>
      </c>
      <c r="D8" s="12">
        <f>14+40</f>
        <v>54</v>
      </c>
      <c r="E8" s="37"/>
      <c r="F8" s="36"/>
    </row>
    <row r="9" spans="2:6" ht="16" thickBot="1">
      <c r="B9" s="98" t="s">
        <v>21</v>
      </c>
      <c r="C9" s="104" t="s">
        <v>6</v>
      </c>
      <c r="D9" s="12">
        <f>5+85+85+30+33+65+65+60+25</f>
        <v>453</v>
      </c>
      <c r="E9" s="37"/>
      <c r="F9" s="36"/>
    </row>
    <row r="10" spans="2:6" ht="16" thickBot="1">
      <c r="B10" s="98" t="s">
        <v>22</v>
      </c>
      <c r="C10" s="104" t="s">
        <v>6</v>
      </c>
      <c r="D10" s="12">
        <f>90+15+25+10+10+10+10+5+10+10+20+10</f>
        <v>225</v>
      </c>
      <c r="E10" s="37"/>
      <c r="F10" s="36"/>
    </row>
    <row r="11" spans="2:6" ht="16" thickBot="1">
      <c r="B11" s="98" t="s">
        <v>23</v>
      </c>
      <c r="C11" s="104" t="s">
        <v>6</v>
      </c>
      <c r="D11" s="12">
        <v>3</v>
      </c>
      <c r="E11" s="37"/>
      <c r="F11" s="36"/>
    </row>
    <row r="12" spans="2:6" ht="16" thickBot="1">
      <c r="B12" s="98" t="s">
        <v>24</v>
      </c>
      <c r="C12" s="104" t="s">
        <v>5</v>
      </c>
      <c r="D12" s="12">
        <f>15+46+8+12+8+8+8+12+4</f>
        <v>121</v>
      </c>
      <c r="E12" s="37"/>
      <c r="F12" s="36"/>
    </row>
    <row r="13" spans="2:6" ht="16" thickBot="1">
      <c r="B13" s="98" t="s">
        <v>25</v>
      </c>
      <c r="C13" s="104" t="s">
        <v>6</v>
      </c>
      <c r="D13" s="12">
        <f>54+71+130</f>
        <v>255</v>
      </c>
      <c r="E13" s="37"/>
      <c r="F13" s="36"/>
    </row>
    <row r="14" spans="2:6" ht="16" thickBot="1">
      <c r="B14" s="98" t="s">
        <v>26</v>
      </c>
      <c r="C14" s="104" t="s">
        <v>6</v>
      </c>
      <c r="D14" s="12">
        <f>111+209+45+8+50+115+15+60+15+120</f>
        <v>748</v>
      </c>
      <c r="E14" s="37"/>
      <c r="F14" s="36"/>
    </row>
    <row r="15" spans="2:6" ht="27" customHeight="1" thickBot="1">
      <c r="B15" s="98" t="s">
        <v>27</v>
      </c>
      <c r="C15" s="104" t="s">
        <v>6</v>
      </c>
      <c r="D15" s="12">
        <f>23+42+128+80+20+52+40+18</f>
        <v>403</v>
      </c>
      <c r="E15" s="37"/>
      <c r="F15" s="36"/>
    </row>
    <row r="16" spans="2:6" ht="36" customHeight="1" thickBot="1">
      <c r="B16" s="98" t="s">
        <v>28</v>
      </c>
      <c r="C16" s="104" t="s">
        <v>6</v>
      </c>
      <c r="D16" s="12">
        <f>35+35+60+20+30+20+30+20</f>
        <v>250</v>
      </c>
      <c r="E16" s="37"/>
      <c r="F16" s="36"/>
    </row>
    <row r="17" spans="2:6" ht="37.5" customHeight="1" thickBot="1">
      <c r="B17" s="98" t="s">
        <v>29</v>
      </c>
      <c r="C17" s="104" t="s">
        <v>6</v>
      </c>
      <c r="D17" s="12">
        <f>26.4+28+18+20+20</f>
        <v>112.4</v>
      </c>
      <c r="E17" s="37"/>
      <c r="F17" s="36"/>
    </row>
    <row r="18" spans="2:6" ht="16" thickBot="1">
      <c r="B18" s="98" t="s">
        <v>30</v>
      </c>
      <c r="C18" s="104" t="s">
        <v>6</v>
      </c>
      <c r="D18" s="12">
        <f>6+6+18+118.4+46+52+12+5+45+5+45</f>
        <v>358.4</v>
      </c>
      <c r="E18" s="37"/>
      <c r="F18" s="36"/>
    </row>
    <row r="19" spans="2:6" ht="16" thickBot="1">
      <c r="B19" s="98" t="s">
        <v>31</v>
      </c>
      <c r="C19" s="104" t="s">
        <v>9</v>
      </c>
      <c r="D19" s="12">
        <f>60+440+60+110+210+50+80+60+50</f>
        <v>1120</v>
      </c>
      <c r="E19" s="37"/>
      <c r="F19" s="36"/>
    </row>
    <row r="20" spans="2:6" ht="16" thickBot="1">
      <c r="B20" s="98" t="s">
        <v>70</v>
      </c>
      <c r="C20" s="104" t="s">
        <v>6</v>
      </c>
      <c r="D20" s="12">
        <f>20+30+210+75+70+70+65+50+90</f>
        <v>680</v>
      </c>
      <c r="E20" s="37"/>
      <c r="F20" s="36"/>
    </row>
    <row r="21" spans="2:6" ht="16" thickBot="1">
      <c r="B21" s="98" t="s">
        <v>32</v>
      </c>
      <c r="C21" s="104" t="s">
        <v>9</v>
      </c>
      <c r="D21" s="12">
        <f>100+150+50+100+50</f>
        <v>450</v>
      </c>
      <c r="E21" s="37"/>
      <c r="F21" s="36"/>
    </row>
    <row r="22" spans="2:6" ht="16" thickBot="1">
      <c r="B22" s="98" t="s">
        <v>33</v>
      </c>
      <c r="C22" s="104" t="s">
        <v>6</v>
      </c>
      <c r="D22" s="12">
        <f>89+151+50</f>
        <v>290</v>
      </c>
      <c r="E22" s="37"/>
      <c r="F22" s="36"/>
    </row>
    <row r="23" spans="2:6" ht="16" thickBot="1">
      <c r="B23" s="98" t="s">
        <v>34</v>
      </c>
      <c r="C23" s="104" t="s">
        <v>6</v>
      </c>
      <c r="D23" s="12">
        <f>6+16+45+234+23+16+3+8+35+31+40+30+82</f>
        <v>569</v>
      </c>
      <c r="E23" s="37"/>
      <c r="F23" s="36"/>
    </row>
    <row r="24" spans="2:6" ht="16" thickBot="1">
      <c r="B24" s="98" t="s">
        <v>35</v>
      </c>
      <c r="C24" s="104" t="s">
        <v>6</v>
      </c>
      <c r="D24" s="12">
        <f>6+6+6+10+10+10+12+8+8+5+14+5+5</f>
        <v>105</v>
      </c>
      <c r="E24" s="37"/>
      <c r="F24" s="36"/>
    </row>
    <row r="25" spans="2:6" ht="16" thickBot="1">
      <c r="B25" s="98" t="s">
        <v>36</v>
      </c>
      <c r="C25" s="104" t="s">
        <v>6</v>
      </c>
      <c r="D25" s="12">
        <f>6+10+10+32+50+13+23+48+34+25+20</f>
        <v>271</v>
      </c>
      <c r="E25" s="39"/>
      <c r="F25" s="36"/>
    </row>
    <row r="26" spans="2:6" ht="31.5" thickBot="1">
      <c r="B26" s="98" t="s">
        <v>49</v>
      </c>
      <c r="C26" s="104" t="s">
        <v>6</v>
      </c>
      <c r="D26" s="12">
        <f>5+5+6+35+40+40+30+5+5+30+27+34</f>
        <v>262</v>
      </c>
      <c r="E26" s="37"/>
      <c r="F26" s="36"/>
    </row>
    <row r="27" spans="2:6" ht="20.25" customHeight="1" thickBot="1">
      <c r="B27" s="98" t="s">
        <v>71</v>
      </c>
      <c r="C27" s="104" t="s">
        <v>6</v>
      </c>
      <c r="D27" s="12">
        <f>162+39+45+45</f>
        <v>291</v>
      </c>
      <c r="E27" s="37"/>
      <c r="F27" s="36"/>
    </row>
    <row r="28" spans="2:6" ht="33" customHeight="1" thickBot="1">
      <c r="B28" s="98" t="s">
        <v>46</v>
      </c>
      <c r="C28" s="104" t="s">
        <v>6</v>
      </c>
      <c r="D28" s="12">
        <f>5+5+6+8+10+10+13+16+15+8+3+8+14</f>
        <v>121</v>
      </c>
      <c r="E28" s="95"/>
      <c r="F28" s="96"/>
    </row>
    <row r="29" spans="2:6" ht="16" thickBot="1">
      <c r="B29" s="98" t="s">
        <v>149</v>
      </c>
      <c r="C29" s="105" t="s">
        <v>6</v>
      </c>
      <c r="D29" s="12">
        <f>675+3900+570+300+30+585+1125+450+450+354+180+540+1200</f>
        <v>10359</v>
      </c>
      <c r="E29" s="37"/>
      <c r="F29" s="36"/>
    </row>
    <row r="30" spans="2:6" ht="28.5" customHeight="1" thickBot="1">
      <c r="B30" s="98" t="s">
        <v>150</v>
      </c>
      <c r="C30" s="105" t="s">
        <v>6</v>
      </c>
      <c r="D30" s="12">
        <v>68</v>
      </c>
      <c r="E30" s="37"/>
      <c r="F30" s="36"/>
    </row>
    <row r="31" spans="2:6" ht="18.75" customHeight="1" thickBot="1">
      <c r="B31" s="98" t="s">
        <v>151</v>
      </c>
      <c r="C31" s="105" t="s">
        <v>9</v>
      </c>
      <c r="D31" s="12">
        <f>100+150+90</f>
        <v>340</v>
      </c>
      <c r="E31" s="37"/>
      <c r="F31" s="36"/>
    </row>
    <row r="32" spans="2:6" ht="17.25" customHeight="1" thickBot="1">
      <c r="B32" s="98" t="s">
        <v>152</v>
      </c>
      <c r="C32" s="105" t="s">
        <v>9</v>
      </c>
      <c r="D32" s="12">
        <f>4+10+2+3+4+2+4</f>
        <v>29</v>
      </c>
      <c r="E32" s="37"/>
      <c r="F32" s="36"/>
    </row>
    <row r="33" spans="2:6" ht="16.5" customHeight="1" thickBot="1">
      <c r="B33" s="98" t="s">
        <v>153</v>
      </c>
      <c r="C33" s="105" t="s">
        <v>7</v>
      </c>
      <c r="D33" s="12">
        <f>102+114+124+120+90+94</f>
        <v>644</v>
      </c>
      <c r="E33" s="37"/>
      <c r="F33" s="36"/>
    </row>
    <row r="34" spans="2:6" ht="32.25" customHeight="1">
      <c r="B34" s="99" t="s">
        <v>154</v>
      </c>
      <c r="C34" s="64" t="s">
        <v>6</v>
      </c>
      <c r="D34" s="83">
        <f>30+15</f>
        <v>45</v>
      </c>
      <c r="E34" s="48"/>
      <c r="F34" s="61"/>
    </row>
    <row r="35" spans="2:6" ht="31">
      <c r="B35" s="99" t="s">
        <v>155</v>
      </c>
      <c r="C35" s="64" t="s">
        <v>6</v>
      </c>
      <c r="D35" s="83">
        <f>15+15</f>
        <v>30</v>
      </c>
      <c r="E35" s="48"/>
      <c r="F35" s="61"/>
    </row>
    <row r="36" spans="2:6" ht="17.25" customHeight="1">
      <c r="B36" s="100" t="s">
        <v>156</v>
      </c>
      <c r="C36" s="65" t="s">
        <v>6</v>
      </c>
      <c r="D36" s="101">
        <v>39</v>
      </c>
      <c r="E36" s="48"/>
      <c r="F36" s="61"/>
    </row>
    <row r="37" spans="2:6" ht="15.5">
      <c r="B37" s="100" t="s">
        <v>157</v>
      </c>
      <c r="C37" s="65" t="s">
        <v>48</v>
      </c>
      <c r="D37" s="102">
        <f>70.5+5+17.5+20+15+22.5</f>
        <v>150.5</v>
      </c>
      <c r="E37" s="48"/>
      <c r="F37" s="61"/>
    </row>
    <row r="38" spans="2:6" ht="15.5">
      <c r="B38" s="100" t="s">
        <v>158</v>
      </c>
      <c r="C38" s="65" t="s">
        <v>6</v>
      </c>
      <c r="D38" s="101">
        <f>26+43+70</f>
        <v>139</v>
      </c>
      <c r="E38" s="48"/>
      <c r="F38" s="61"/>
    </row>
    <row r="39" spans="2:6" ht="15.5">
      <c r="B39" s="100" t="s">
        <v>159</v>
      </c>
      <c r="C39" s="65" t="s">
        <v>50</v>
      </c>
      <c r="D39" s="101">
        <v>700</v>
      </c>
      <c r="E39" s="48"/>
      <c r="F39" s="61"/>
    </row>
    <row r="40" spans="2:6" ht="15.5">
      <c r="B40" s="122" t="s">
        <v>160</v>
      </c>
      <c r="C40" s="122"/>
      <c r="D40" s="122"/>
      <c r="E40" s="122"/>
      <c r="F40" s="60">
        <f>SUM(F7:F36)</f>
        <v>0</v>
      </c>
    </row>
    <row r="41" spans="2:6" ht="15.5">
      <c r="B41" s="8"/>
    </row>
    <row r="42" spans="2:6" ht="15.5">
      <c r="B42" s="106" t="s">
        <v>179</v>
      </c>
    </row>
    <row r="44" spans="2:6" ht="15.5">
      <c r="B44" s="107" t="s">
        <v>180</v>
      </c>
    </row>
    <row r="47" spans="2:6" ht="15">
      <c r="B47" s="108" t="s">
        <v>181</v>
      </c>
    </row>
    <row r="49" spans="2:2" ht="15.5">
      <c r="B49" s="109" t="s">
        <v>182</v>
      </c>
    </row>
    <row r="50" spans="2:2" ht="15.5">
      <c r="B50" s="110" t="s">
        <v>183</v>
      </c>
    </row>
  </sheetData>
  <mergeCells count="1">
    <mergeCell ref="B40:E40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23"/>
  <sheetViews>
    <sheetView topLeftCell="A9" zoomScale="140" zoomScaleNormal="140" workbookViewId="0">
      <selection activeCell="B15" sqref="B15:B23"/>
    </sheetView>
  </sheetViews>
  <sheetFormatPr defaultRowHeight="14"/>
  <cols>
    <col min="2" max="2" width="26.5" customWidth="1"/>
    <col min="3" max="3" width="13.6640625" customWidth="1"/>
    <col min="4" max="4" width="13.33203125" customWidth="1"/>
    <col min="6" max="6" width="14.5" customWidth="1"/>
    <col min="8" max="8" width="10.1640625" bestFit="1" customWidth="1"/>
  </cols>
  <sheetData>
    <row r="3" spans="2:11" ht="15.5">
      <c r="B3" s="28"/>
      <c r="C3" s="28"/>
      <c r="D3" s="28"/>
      <c r="E3" s="29"/>
      <c r="F3" s="29"/>
      <c r="G3" s="29"/>
      <c r="H3" s="28"/>
      <c r="K3" s="4"/>
    </row>
    <row r="4" spans="2:11" ht="25.5" customHeight="1">
      <c r="B4" s="9" t="s">
        <v>52</v>
      </c>
      <c r="G4" s="5"/>
      <c r="H4" s="6"/>
    </row>
    <row r="5" spans="2:11" ht="21" customHeight="1" thickBot="1">
      <c r="B5" s="8"/>
      <c r="G5" s="5"/>
      <c r="H5" s="6"/>
    </row>
    <row r="6" spans="2:11" ht="58" customHeight="1" thickBot="1">
      <c r="B6" s="1" t="s">
        <v>0</v>
      </c>
      <c r="C6" s="13" t="s">
        <v>1</v>
      </c>
      <c r="D6" s="13" t="s">
        <v>2</v>
      </c>
      <c r="E6" s="26" t="s">
        <v>145</v>
      </c>
      <c r="F6" s="27" t="s">
        <v>146</v>
      </c>
      <c r="G6" s="5"/>
      <c r="H6" s="6"/>
    </row>
    <row r="7" spans="2:11" ht="16" thickBot="1">
      <c r="B7" s="2" t="s">
        <v>60</v>
      </c>
      <c r="C7" s="34" t="s">
        <v>5</v>
      </c>
      <c r="D7" s="30">
        <f>350+100+275+335+320+50</f>
        <v>1430</v>
      </c>
      <c r="E7" s="41"/>
      <c r="F7" s="42"/>
    </row>
    <row r="8" spans="2:11" ht="18" customHeight="1" thickBot="1">
      <c r="B8" s="2" t="s">
        <v>61</v>
      </c>
      <c r="C8" s="34" t="s">
        <v>5</v>
      </c>
      <c r="D8" s="30">
        <v>300</v>
      </c>
      <c r="E8" s="41"/>
      <c r="F8" s="42"/>
    </row>
    <row r="9" spans="2:11" ht="30.75" customHeight="1" thickBot="1">
      <c r="B9" s="2" t="s">
        <v>62</v>
      </c>
      <c r="C9" s="34" t="s">
        <v>5</v>
      </c>
      <c r="D9" s="30">
        <v>145</v>
      </c>
      <c r="E9" s="41"/>
      <c r="F9" s="42"/>
    </row>
    <row r="10" spans="2:11" ht="36" customHeight="1" thickBot="1">
      <c r="B10" s="2" t="s">
        <v>63</v>
      </c>
      <c r="C10" s="34" t="s">
        <v>8</v>
      </c>
      <c r="D10" s="23">
        <v>100</v>
      </c>
      <c r="E10" s="41"/>
      <c r="F10" s="42"/>
    </row>
    <row r="11" spans="2:11" ht="18" customHeight="1" thickBot="1">
      <c r="B11" s="2" t="s">
        <v>72</v>
      </c>
      <c r="C11" s="34" t="s">
        <v>3</v>
      </c>
      <c r="D11" s="30">
        <v>319</v>
      </c>
      <c r="E11" s="41"/>
      <c r="F11" s="42"/>
    </row>
    <row r="12" spans="2:11" ht="21.75" customHeight="1" thickBot="1">
      <c r="B12" s="2"/>
      <c r="C12" s="34"/>
      <c r="D12" s="30"/>
      <c r="E12" s="41"/>
      <c r="F12" s="42"/>
    </row>
    <row r="13" spans="2:11" ht="21" customHeight="1" thickBot="1">
      <c r="B13" s="31" t="s">
        <v>37</v>
      </c>
      <c r="C13" s="32"/>
      <c r="D13" s="32"/>
      <c r="E13" s="33"/>
      <c r="F13" s="43">
        <f>SUM(F7:F12)</f>
        <v>0</v>
      </c>
    </row>
    <row r="14" spans="2:11" ht="15" customHeight="1"/>
    <row r="15" spans="2:11" ht="18" customHeight="1">
      <c r="B15" s="106" t="s">
        <v>179</v>
      </c>
    </row>
    <row r="17" spans="2:3" ht="18.75" customHeight="1">
      <c r="B17" s="107" t="s">
        <v>180</v>
      </c>
    </row>
    <row r="18" spans="2:3" ht="16.5" customHeight="1"/>
    <row r="20" spans="2:3" ht="15">
      <c r="B20" s="108" t="s">
        <v>181</v>
      </c>
    </row>
    <row r="21" spans="2:3">
      <c r="C21" s="44"/>
    </row>
    <row r="22" spans="2:3" ht="15.5">
      <c r="B22" s="109" t="s">
        <v>182</v>
      </c>
    </row>
    <row r="23" spans="2:3" ht="15.5">
      <c r="B23" s="110" t="s">
        <v>183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5"/>
  <sheetViews>
    <sheetView zoomScaleNormal="100" workbookViewId="0">
      <selection activeCell="F34" sqref="F34"/>
    </sheetView>
  </sheetViews>
  <sheetFormatPr defaultRowHeight="14"/>
  <cols>
    <col min="2" max="2" width="33.4140625" customWidth="1"/>
    <col min="5" max="5" width="27.6640625" customWidth="1"/>
    <col min="6" max="6" width="45" customWidth="1"/>
  </cols>
  <sheetData>
    <row r="2" spans="2:6">
      <c r="B2" s="19"/>
    </row>
    <row r="3" spans="2:6" ht="21">
      <c r="B3" s="9" t="s">
        <v>184</v>
      </c>
    </row>
    <row r="4" spans="2:6" ht="21">
      <c r="B4" s="9" t="s">
        <v>143</v>
      </c>
    </row>
    <row r="5" spans="2:6" ht="16" thickBot="1">
      <c r="B5" s="8"/>
    </row>
    <row r="6" spans="2:6" ht="31.5" thickBot="1">
      <c r="B6" s="1" t="s">
        <v>0</v>
      </c>
      <c r="C6" s="13" t="s">
        <v>1</v>
      </c>
      <c r="D6" s="13" t="s">
        <v>2</v>
      </c>
      <c r="E6" s="13" t="s">
        <v>144</v>
      </c>
      <c r="F6" s="22" t="s">
        <v>4</v>
      </c>
    </row>
    <row r="7" spans="2:6" ht="31.5" thickBot="1">
      <c r="B7" s="21" t="s">
        <v>64</v>
      </c>
      <c r="C7" s="24" t="s">
        <v>7</v>
      </c>
      <c r="D7" s="24">
        <v>245</v>
      </c>
      <c r="E7" s="48"/>
      <c r="F7" s="48"/>
    </row>
    <row r="8" spans="2:6" ht="31.5" thickBot="1">
      <c r="B8" s="21" t="s">
        <v>65</v>
      </c>
      <c r="C8" s="24" t="s">
        <v>7</v>
      </c>
      <c r="D8" s="24">
        <v>261</v>
      </c>
      <c r="E8" s="48"/>
      <c r="F8" s="48"/>
    </row>
    <row r="9" spans="2:6" ht="16" thickBot="1">
      <c r="B9" s="35" t="s">
        <v>192</v>
      </c>
      <c r="C9" s="24" t="s">
        <v>7</v>
      </c>
      <c r="D9" s="24">
        <v>144</v>
      </c>
      <c r="E9" s="48"/>
      <c r="F9" s="48"/>
    </row>
    <row r="10" spans="2:6" ht="16" thickBot="1">
      <c r="B10" s="35" t="s">
        <v>66</v>
      </c>
      <c r="C10" s="24" t="s">
        <v>7</v>
      </c>
      <c r="D10" s="24">
        <f>35+30+35</f>
        <v>100</v>
      </c>
      <c r="E10" s="48"/>
      <c r="F10" s="48"/>
    </row>
    <row r="11" spans="2:6" ht="16" thickBot="1">
      <c r="B11" s="35" t="s">
        <v>67</v>
      </c>
      <c r="C11" s="24" t="s">
        <v>7</v>
      </c>
      <c r="D11" s="24">
        <v>65</v>
      </c>
      <c r="E11" s="48"/>
      <c r="F11" s="48"/>
    </row>
    <row r="12" spans="2:6" ht="16" thickBot="1">
      <c r="B12" s="35" t="s">
        <v>68</v>
      </c>
      <c r="C12" s="24" t="s">
        <v>7</v>
      </c>
      <c r="D12" s="24">
        <f>32+36</f>
        <v>68</v>
      </c>
      <c r="E12" s="48"/>
      <c r="F12" s="48"/>
    </row>
    <row r="13" spans="2:6" ht="16" thickBot="1">
      <c r="B13" s="82" t="s">
        <v>191</v>
      </c>
      <c r="C13" s="81" t="s">
        <v>7</v>
      </c>
      <c r="D13" s="24">
        <v>136</v>
      </c>
      <c r="E13" s="48"/>
      <c r="F13" s="48"/>
    </row>
    <row r="14" spans="2:6" ht="16" thickBot="1">
      <c r="B14" s="115" t="s">
        <v>10</v>
      </c>
      <c r="C14" s="116"/>
      <c r="D14" s="116"/>
      <c r="E14" s="117"/>
      <c r="F14" s="91">
        <f>SUM(F7:F13)</f>
        <v>0</v>
      </c>
    </row>
    <row r="15" spans="2:6" ht="15.5">
      <c r="B15" s="49"/>
    </row>
    <row r="16" spans="2:6" ht="15.5">
      <c r="B16" s="49"/>
    </row>
    <row r="17" spans="3:3" ht="15.5">
      <c r="C17" s="106" t="s">
        <v>179</v>
      </c>
    </row>
    <row r="19" spans="3:3" ht="15.5">
      <c r="C19" s="107" t="s">
        <v>180</v>
      </c>
    </row>
    <row r="22" spans="3:3" ht="15">
      <c r="C22" s="108" t="s">
        <v>181</v>
      </c>
    </row>
    <row r="24" spans="3:3" ht="15.5">
      <c r="C24" s="109" t="s">
        <v>182</v>
      </c>
    </row>
    <row r="25" spans="3:3" ht="15.5">
      <c r="C25" s="110" t="s">
        <v>183</v>
      </c>
    </row>
  </sheetData>
  <mergeCells count="1">
    <mergeCell ref="B14:E14"/>
  </mergeCells>
  <pageMargins left="0.7" right="0.7" top="0.75" bottom="0.75" header="0.3" footer="0.3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CZ 1 mięso drób wędlina </vt:lpstr>
      <vt:lpstr>CZ 2 nabiał</vt:lpstr>
      <vt:lpstr>CZ 3 art spożywcze</vt:lpstr>
      <vt:lpstr>CZ 4 mrożonki</vt:lpstr>
      <vt:lpstr>CZ 5 jajka</vt:lpstr>
      <vt:lpstr>CZ 6 warzywa owoce</vt:lpstr>
      <vt:lpstr>CZ 7 pieczywo</vt:lpstr>
      <vt:lpstr>CZ 8 RYBY</vt:lpstr>
      <vt:lpstr>'CZ 7 pieczywo'!_GoBack</vt:lpstr>
      <vt:lpstr>'CZ 8 RYBY'!_Hlk79736048</vt:lpstr>
      <vt:lpstr>'CZ 3 art spożywcze'!Obszar_wydruku</vt:lpstr>
      <vt:lpstr>'CZ 4 mrożonki'!Obszar_wydruku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intendentka</dc:creator>
  <cp:lastModifiedBy>Daria Dudziak</cp:lastModifiedBy>
  <cp:lastPrinted>2023-12-19T07:08:50Z</cp:lastPrinted>
  <dcterms:created xsi:type="dcterms:W3CDTF">2021-10-28T10:03:48Z</dcterms:created>
  <dcterms:modified xsi:type="dcterms:W3CDTF">2024-02-27T12:18:54Z</dcterms:modified>
</cp:coreProperties>
</file>